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29" activeTab="0"/>
  </bookViews>
  <sheets>
    <sheet name="Дружбы,5" sheetId="1" r:id="rId1"/>
    <sheet name="Дружбы, 9.1" sheetId="2" r:id="rId2"/>
    <sheet name="Дружбы,9.2" sheetId="3" r:id="rId3"/>
    <sheet name="Космическая, 22" sheetId="4" r:id="rId4"/>
    <sheet name="Космическая, 22а" sheetId="5" r:id="rId5"/>
    <sheet name="Космическая, 24а" sheetId="6" r:id="rId6"/>
    <sheet name="Дружбы,31а" sheetId="7" r:id="rId7"/>
    <sheet name="Дружбы, 29" sheetId="8" r:id="rId8"/>
    <sheet name="Волгоградская, 1" sheetId="9" r:id="rId9"/>
    <sheet name="Притомский, 35 к.2" sheetId="10" r:id="rId10"/>
    <sheet name="Притомский, 35 к.1" sheetId="11" r:id="rId11"/>
  </sheets>
  <definedNames/>
  <calcPr fullCalcOnLoad="1"/>
</workbook>
</file>

<file path=xl/sharedStrings.xml><?xml version="1.0" encoding="utf-8"?>
<sst xmlns="http://schemas.openxmlformats.org/spreadsheetml/2006/main" count="2749" uniqueCount="106">
  <si>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</si>
  <si>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</si>
  <si>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</si>
  <si>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</si>
  <si>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</si>
  <si>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</si>
  <si>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</si>
  <si>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</si>
  <si>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</si>
  <si>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</si>
  <si>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переплата потребителями</t>
  </si>
  <si>
    <t xml:space="preserve"> - задолженность потребителей</t>
  </si>
  <si>
    <t>Начислено за работы (услуги) по содержанию и текущему ремонту, в том числе:</t>
  </si>
  <si>
    <t xml:space="preserve"> - за содержание дома</t>
  </si>
  <si>
    <t xml:space="preserve">  - за текущий ремонт</t>
  </si>
  <si>
    <t xml:space="preserve"> - за услуги управления</t>
  </si>
  <si>
    <t>Получено денежных средств, в т.ч.:</t>
  </si>
  <si>
    <t xml:space="preserve"> - денежных средств от потребителей</t>
  </si>
  <si>
    <t xml:space="preserve"> - целевых взносов от потребитлей</t>
  </si>
  <si>
    <t xml:space="preserve"> - субсидии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</si>
  <si>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</si>
  <si>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</si>
  <si>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</si>
  <si>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</si>
  <si>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</si>
  <si>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</si>
  <si>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</si>
  <si>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</si>
  <si>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</t>
  </si>
  <si>
    <t>Количество удовлетворенных претензий</t>
  </si>
  <si>
    <t>ед.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</si>
  <si>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</si>
  <si>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</si>
  <si>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</si>
  <si>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</si>
  <si>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</si>
  <si>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Вид коммунальной услуги</t>
  </si>
  <si>
    <t>Единица измерения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</si>
  <si>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</si>
  <si>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</si>
  <si>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</si>
  <si>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</si>
  <si>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</si>
  <si>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</si>
  <si>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</si>
  <si>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</si>
  <si>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</si>
  <si>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</si>
  <si>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</si>
  <si>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</si>
  <si>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</si>
  <si>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</si>
  <si>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Информация о предоставленных коммунальных услугах, в т.ч.: </t>
  </si>
  <si>
    <t>Электроснабжение</t>
  </si>
  <si>
    <t>Холодное водоснабжение</t>
  </si>
  <si>
    <t>Горячее водоснабжение</t>
  </si>
  <si>
    <t>Водоотведение</t>
  </si>
  <si>
    <t>-</t>
  </si>
  <si>
    <t>Теплоснабжение (отопление)</t>
  </si>
  <si>
    <t>кВтч</t>
  </si>
  <si>
    <t>м3</t>
  </si>
  <si>
    <t>Гкал</t>
  </si>
  <si>
    <t xml:space="preserve">Работы по содержанию и ремонту конструктивных элементов (несущих конструкций) многоквартирных домов, в т.ч.: </t>
  </si>
  <si>
    <t xml:space="preserve"> - плановые осмотры кровли, фасада, лестниц, крыш, дверей</t>
  </si>
  <si>
    <t>ежегодно</t>
  </si>
  <si>
    <t>руб/кв.м.</t>
  </si>
  <si>
    <t>Работы по содержанию и ремонту лифта (лифтов) в многоквартирном доме, в т.ч.:</t>
  </si>
  <si>
    <t xml:space="preserve"> - текущее обслуживание и ремонт лифтов</t>
  </si>
  <si>
    <t>по графику</t>
  </si>
  <si>
    <t>Проведение дератизации и дезинсекции помещений, входящих в состав общего имущества в многоквартирном доме, в т.ч.:</t>
  </si>
  <si>
    <t xml:space="preserve"> - дератизация и дезинсекция</t>
  </si>
  <si>
    <t>один раз в месяц</t>
  </si>
  <si>
    <t xml:space="preserve"> - плановые осмотры системы водоснабжения и отопления</t>
  </si>
  <si>
    <t>ежедневно</t>
  </si>
  <si>
    <t xml:space="preserve"> - обслуживание общедомового теплосчетчика</t>
  </si>
  <si>
    <t>Работы, выполняемые в целях надлежащего содержания электрооборудования и оборудования пожарной и охранной сигнализации, в т.ч.:</t>
  </si>
  <si>
    <t xml:space="preserve"> - техническое обслуживание систем автоматической пожарной сигнализации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</si>
  <si>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т.ч.:</t>
  </si>
  <si>
    <t xml:space="preserve"> - уборка придомовой территории</t>
  </si>
  <si>
    <t>Работы по обеспечению вывоза бытовых отходов</t>
  </si>
  <si>
    <t xml:space="preserve"> - вывоз ТБО</t>
  </si>
  <si>
    <t>один раз в сутки</t>
  </si>
  <si>
    <t>Работы по содержанию помещений, входящих в состав общего имущества в многоквартирном доме, в т.ч.:</t>
  </si>
  <si>
    <t xml:space="preserve"> - уборка лестничных маршей, коридоров</t>
  </si>
  <si>
    <t>Работы (услуги) по управлению многоквартирным домом, в т.ч.:</t>
  </si>
  <si>
    <t xml:space="preserve"> - работа с подрядными организациями, работа с населением, ведение бухгалтерского учета, планирование и контроль</t>
  </si>
  <si>
    <t>Обеспечение устранения аварий на внутридомовых инженерных системах в многоквартирном доме, в т.ч.:</t>
  </si>
  <si>
    <t xml:space="preserve"> - круглосуточное диспетчерское обслуживание, незамедлительное устранение аварий</t>
  </si>
  <si>
    <t>по мере необходимости</t>
  </si>
  <si>
    <t>Работы, выполняемые в целях надлежащего содержания электрооборудования, в т.ч.: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</si>
  <si>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т.ч.:</t>
  </si>
  <si>
    <t xml:space="preserve"> - техническое обслуживание осветительных приборов и электрических кстановок</t>
  </si>
  <si>
    <t xml:space="preserve"> - техническое обслуживание осветительных приборов и электрических установок</t>
  </si>
  <si>
    <t xml:space="preserve"> - техническое обслуживание осветительных и электрических установок</t>
  </si>
  <si>
    <t>Форма 2.8. Отчет об исполнении ООО "УК "АртСервис" договора управления за 2016 год (адрес: ул.Дружбы, 5)</t>
  </si>
  <si>
    <t>Форма 2.8. Отчет об исполнении ООО "УК "АртСервис" договора управления за 2016 год (адрес: Ул.Дружбы, 9/1)</t>
  </si>
  <si>
    <t>Форма 2.8. Отчет об исполнении ООО "УК "АртСервис" договора управления за 2016 год (адрес: ул.Дружбы, 9/2)</t>
  </si>
  <si>
    <t>Форма 2.8. Отчет об исполнении ООО "УК "АртСервис" договора управления за 2016 год (адрес: ул.Космическая, 22)</t>
  </si>
  <si>
    <t>Форма 2.8. Отчет об исполнении ООО "УК "АртСервис" договора управления за 2016 год (адрес: ул.Космическая, 22А)</t>
  </si>
  <si>
    <t>Форма 2.8. Отчет об исполнении ООО "УК "АртСервис" договора управления за 2016 год (адрес: ул.Космическая, 24А)</t>
  </si>
  <si>
    <t>Форма 2.8. Отчет об исполнении ООО "УК "АртСервис" договора управления за 2016 год (адрес: ул.Дружбы, 31А)</t>
  </si>
  <si>
    <t>Форма 2.8. Отчет об исполнении ООО "УК "АртСервис" договора управления за 2016 год (адрес: ул.Дружбы, 29)</t>
  </si>
  <si>
    <t>Форма 2.8. Отчет об исполнении ООО "УК "АртСервис" договора управления за 2016 год (адрес: ул.Волгоградская, 1)</t>
  </si>
  <si>
    <t>Форма 2.8. Отчет об исполнении ООО "УК "АртСервис" договора управления за 2016 год (адрес: пр-кт Притомский, 35 корп.2)</t>
  </si>
  <si>
    <t>Форма 2.8. Отчет об исполнении ООО "УК "АртСервис" договора управления за 2016 год (адрес: пр-кт Притомский, 35 корп.1)</t>
  </si>
  <si>
    <t xml:space="preserve"> - уборка и содержание придомовой территории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</si>
</sst>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"/>
    <numFmt numFmtId="173" formatCode="0.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3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9" fontId="41" fillId="0" borderId="10" xfId="55" applyFont="1" applyFill="1" applyBorder="1" applyAlignment="1">
      <alignment vertical="center" wrapText="1"/>
    </xf>
    <xf numFmtId="3" fontId="41" fillId="0" borderId="10" xfId="55" applyNumberFormat="1" applyFont="1" applyFill="1" applyBorder="1" applyAlignment="1">
      <alignment horizontal="center" vertical="center" wrapText="1"/>
    </xf>
    <xf numFmtId="9" fontId="41" fillId="0" borderId="0" xfId="55" applyFont="1" applyFill="1" applyAlignment="1">
      <alignment/>
    </xf>
    <xf numFmtId="1" fontId="41" fillId="0" borderId="10" xfId="55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9" fontId="41" fillId="0" borderId="0" xfId="55" applyFont="1" applyFill="1" applyBorder="1" applyAlignment="1">
      <alignment horizontal="center" vertical="center" wrapText="1"/>
    </xf>
    <xf numFmtId="9" fontId="41" fillId="0" borderId="0" xfId="55" applyFont="1" applyFill="1" applyBorder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/>
    </xf>
    <xf numFmtId="1" fontId="41" fillId="0" borderId="0" xfId="55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3" fontId="41" fillId="0" borderId="10" xfId="55" applyNumberFormat="1" applyFont="1" applyFill="1" applyBorder="1" applyAlignment="1">
      <alignment vertical="center" wrapText="1"/>
    </xf>
    <xf numFmtId="4" fontId="41" fillId="0" borderId="0" xfId="55" applyNumberFormat="1" applyFont="1" applyFill="1" applyAlignment="1">
      <alignment/>
    </xf>
    <xf numFmtId="2" fontId="41" fillId="0" borderId="0" xfId="55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2" fontId="41" fillId="0" borderId="0" xfId="0" applyNumberFormat="1" applyFont="1" applyFill="1" applyAlignment="1">
      <alignment/>
    </xf>
    <xf numFmtId="1" fontId="41" fillId="0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170" fontId="41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7" sqref="B57"/>
    </sheetView>
  </sheetViews>
  <sheetFormatPr defaultColWidth="9.140625" defaultRowHeight="15"/>
  <cols>
    <col min="1" max="1" width="6.28125" style="25" customWidth="1"/>
    <col min="2" max="2" width="51.42187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1.5" customHeight="1">
      <c r="A1" s="39" t="s">
        <v>94</v>
      </c>
      <c r="B1" s="39"/>
      <c r="C1" s="39"/>
      <c r="D1" s="39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2.75">
      <c r="A4" s="4">
        <v>1</v>
      </c>
      <c r="B4" s="5" t="s">
        <v>4</v>
      </c>
      <c r="C4" s="4" t="s">
        <v>57</v>
      </c>
      <c r="D4" s="6">
        <v>42825</v>
      </c>
    </row>
    <row r="5" spans="1:4" s="7" customFormat="1" ht="12.75">
      <c r="A5" s="4">
        <v>2</v>
      </c>
      <c r="B5" s="5" t="s">
        <v>5</v>
      </c>
      <c r="C5" s="4" t="s">
        <v>57</v>
      </c>
      <c r="D5" s="6">
        <v>42370</v>
      </c>
    </row>
    <row r="6" spans="1:4" s="7" customFormat="1" ht="12.75">
      <c r="A6" s="4">
        <v>3</v>
      </c>
      <c r="B6" s="5" t="s">
        <v>6</v>
      </c>
      <c r="C6" s="4" t="s">
        <v>57</v>
      </c>
      <c r="D6" s="6">
        <v>42735</v>
      </c>
    </row>
    <row r="7" spans="1:4" s="7" customFormat="1" ht="27.75" customHeight="1">
      <c r="A7" s="36" t="s">
        <v>7</v>
      </c>
      <c r="B7" s="37"/>
      <c r="C7" s="37"/>
      <c r="D7" s="38"/>
    </row>
    <row r="8" spans="1:4" s="7" customFormat="1" ht="16.5" customHeight="1">
      <c r="A8" s="4">
        <v>4</v>
      </c>
      <c r="B8" s="5" t="s">
        <v>8</v>
      </c>
      <c r="C8" s="5" t="s">
        <v>9</v>
      </c>
      <c r="D8" s="8">
        <f>D10-D9</f>
        <v>245471.23</v>
      </c>
    </row>
    <row r="9" spans="1:4" s="7" customFormat="1" ht="12.75">
      <c r="A9" s="4">
        <v>5</v>
      </c>
      <c r="B9" s="5" t="s">
        <v>10</v>
      </c>
      <c r="C9" s="5" t="s">
        <v>9</v>
      </c>
      <c r="D9" s="9">
        <f>75.2+0.73+697.48+4.71+22.47+1.77+3085.47+39.68+232.91+6.31+999.83+47.65</f>
        <v>5214.21</v>
      </c>
    </row>
    <row r="10" spans="1:4" s="7" customFormat="1" ht="12.75">
      <c r="A10" s="4">
        <v>6</v>
      </c>
      <c r="B10" s="5" t="s">
        <v>11</v>
      </c>
      <c r="C10" s="5" t="s">
        <v>9</v>
      </c>
      <c r="D10" s="9">
        <f>63.41+0.63+10772.3+3.97+18.95+1.53+175752.98+1588.36+10222.04+0.02+48658.84+3602.41</f>
        <v>250685.44</v>
      </c>
    </row>
    <row r="11" spans="1:4" s="7" customFormat="1" ht="25.5">
      <c r="A11" s="4">
        <v>7</v>
      </c>
      <c r="B11" s="5" t="s">
        <v>12</v>
      </c>
      <c r="C11" s="5"/>
      <c r="D11" s="8">
        <f>-39.12-0.39+15550-2.44-11.7-0.96+77750+1954361.32+17363.76+74420.2+447545.83+14890.03+42794.32</f>
        <v>2644620.8499999996</v>
      </c>
    </row>
    <row r="12" spans="1:4" s="7" customFormat="1" ht="12.75">
      <c r="A12" s="4">
        <v>8</v>
      </c>
      <c r="B12" s="5" t="s">
        <v>13</v>
      </c>
      <c r="C12" s="5" t="s">
        <v>9</v>
      </c>
      <c r="D12" s="8">
        <f>D11-D14</f>
        <v>2163094.8499999996</v>
      </c>
    </row>
    <row r="13" spans="1:4" s="7" customFormat="1" ht="12.75">
      <c r="A13" s="4">
        <v>9</v>
      </c>
      <c r="B13" s="5" t="s">
        <v>14</v>
      </c>
      <c r="C13" s="5" t="s">
        <v>9</v>
      </c>
      <c r="D13" s="8">
        <v>0</v>
      </c>
    </row>
    <row r="14" spans="1:4" s="7" customFormat="1" ht="12.75">
      <c r="A14" s="4">
        <v>10</v>
      </c>
      <c r="B14" s="5" t="s">
        <v>15</v>
      </c>
      <c r="C14" s="5" t="s">
        <v>9</v>
      </c>
      <c r="D14" s="8">
        <v>481526</v>
      </c>
    </row>
    <row r="15" spans="1:4" s="7" customFormat="1" ht="12.75">
      <c r="A15" s="4">
        <v>11</v>
      </c>
      <c r="B15" s="5" t="s">
        <v>16</v>
      </c>
      <c r="C15" s="5" t="s">
        <v>9</v>
      </c>
      <c r="D15" s="8">
        <f>SUM(D16:D20)</f>
        <v>2671628.9099999997</v>
      </c>
    </row>
    <row r="16" spans="1:4" s="7" customFormat="1" ht="12.75">
      <c r="A16" s="4">
        <v>12</v>
      </c>
      <c r="B16" s="5" t="s">
        <v>17</v>
      </c>
      <c r="C16" s="5" t="s">
        <v>9</v>
      </c>
      <c r="D16" s="8">
        <f>-50.91-0.49+22412.8-3.18-15.22-1.2+68742.17+184.23+1940638.23+17415.25-0.25+77966.23+457578.63+11218.01+42558.29</f>
        <v>2638642.59</v>
      </c>
    </row>
    <row r="17" spans="1:4" s="7" customFormat="1" ht="12.75">
      <c r="A17" s="4">
        <v>13</v>
      </c>
      <c r="B17" s="5" t="s">
        <v>18</v>
      </c>
      <c r="C17" s="5" t="s">
        <v>9</v>
      </c>
      <c r="D17" s="8">
        <v>0</v>
      </c>
    </row>
    <row r="18" spans="1:4" s="7" customFormat="1" ht="12.75">
      <c r="A18" s="4">
        <v>14</v>
      </c>
      <c r="B18" s="5" t="s">
        <v>19</v>
      </c>
      <c r="C18" s="5" t="s">
        <v>9</v>
      </c>
      <c r="D18" s="8">
        <v>0</v>
      </c>
    </row>
    <row r="19" spans="1:4" s="7" customFormat="1" ht="12.75">
      <c r="A19" s="4">
        <v>15</v>
      </c>
      <c r="B19" s="5" t="s">
        <v>20</v>
      </c>
      <c r="C19" s="5" t="s">
        <v>9</v>
      </c>
      <c r="D19" s="8">
        <v>32986.32</v>
      </c>
    </row>
    <row r="20" spans="1:4" s="7" customFormat="1" ht="12.75">
      <c r="A20" s="4">
        <v>16</v>
      </c>
      <c r="B20" s="5" t="s">
        <v>21</v>
      </c>
      <c r="C20" s="5" t="s">
        <v>9</v>
      </c>
      <c r="D20" s="8">
        <v>0</v>
      </c>
    </row>
    <row r="21" spans="1:4" s="7" customFormat="1" ht="12.75">
      <c r="A21" s="4">
        <v>17</v>
      </c>
      <c r="B21" s="5" t="s">
        <v>22</v>
      </c>
      <c r="C21" s="5" t="s">
        <v>9</v>
      </c>
      <c r="D21" s="8">
        <f>D8+D15</f>
        <v>2917100.1399999997</v>
      </c>
    </row>
    <row r="22" spans="1:4" s="7" customFormat="1" ht="12.75">
      <c r="A22" s="4">
        <v>18</v>
      </c>
      <c r="B22" s="5" t="s">
        <v>23</v>
      </c>
      <c r="C22" s="5" t="s">
        <v>9</v>
      </c>
      <c r="D22" s="8">
        <f>D24-D23</f>
        <v>250618.15000000002</v>
      </c>
    </row>
    <row r="23" spans="1:4" s="7" customFormat="1" ht="12.75">
      <c r="A23" s="4">
        <v>19</v>
      </c>
      <c r="B23" s="5" t="s">
        <v>10</v>
      </c>
      <c r="C23" s="5" t="s">
        <v>9</v>
      </c>
      <c r="D23" s="9">
        <f>81.62+1322.05+1661.36+25.94+138.29+6.31+617.72+49.96+35.8</f>
        <v>3939.05</v>
      </c>
    </row>
    <row r="24" spans="1:4" s="7" customFormat="1" ht="12.75">
      <c r="A24" s="4">
        <v>20</v>
      </c>
      <c r="B24" s="5" t="s">
        <v>11</v>
      </c>
      <c r="C24" s="5" t="s">
        <v>9</v>
      </c>
      <c r="D24" s="9">
        <f>3212.02+9089.45+306.48+188051.96+1523.13+0.25+6581.39+0.02+38243.93+3721.98+3826.59</f>
        <v>254557.2</v>
      </c>
    </row>
    <row r="25" spans="1:4" s="7" customFormat="1" ht="26.25" customHeight="1">
      <c r="A25" s="36" t="s">
        <v>24</v>
      </c>
      <c r="B25" s="37"/>
      <c r="C25" s="37"/>
      <c r="D25" s="38"/>
    </row>
    <row r="26" spans="1:4" s="7" customFormat="1" ht="27.75" customHeight="1">
      <c r="A26" s="4">
        <v>21</v>
      </c>
      <c r="B26" s="5" t="s">
        <v>62</v>
      </c>
      <c r="C26" s="5" t="s">
        <v>9</v>
      </c>
      <c r="D26" s="8">
        <v>172518</v>
      </c>
    </row>
    <row r="27" spans="1:4" s="7" customFormat="1" ht="19.5" customHeight="1">
      <c r="A27" s="4"/>
      <c r="B27" s="5" t="s">
        <v>63</v>
      </c>
      <c r="C27" s="5" t="s">
        <v>65</v>
      </c>
      <c r="D27" s="34">
        <f>D26/10582.6/12</f>
        <v>1.3585035813505186</v>
      </c>
    </row>
    <row r="28" spans="1:4" s="7" customFormat="1" ht="14.25" customHeight="1">
      <c r="A28" s="4"/>
      <c r="B28" s="5" t="s">
        <v>25</v>
      </c>
      <c r="C28" s="5"/>
      <c r="D28" s="4" t="s">
        <v>64</v>
      </c>
    </row>
    <row r="29" spans="1:4" s="7" customFormat="1" ht="26.25" customHeight="1">
      <c r="A29" s="4">
        <v>22</v>
      </c>
      <c r="B29" s="5" t="s">
        <v>66</v>
      </c>
      <c r="C29" s="5" t="s">
        <v>9</v>
      </c>
      <c r="D29" s="8">
        <v>423110</v>
      </c>
    </row>
    <row r="30" spans="1:4" s="7" customFormat="1" ht="14.25" customHeight="1">
      <c r="A30" s="4"/>
      <c r="B30" s="10" t="s">
        <v>67</v>
      </c>
      <c r="C30" s="5" t="s">
        <v>65</v>
      </c>
      <c r="D30" s="11">
        <f>D29/10582.6/12</f>
        <v>3.3318056684242685</v>
      </c>
    </row>
    <row r="31" spans="1:4" s="7" customFormat="1" ht="14.25" customHeight="1">
      <c r="A31" s="12"/>
      <c r="B31" s="5" t="s">
        <v>25</v>
      </c>
      <c r="C31" s="5"/>
      <c r="D31" s="4" t="s">
        <v>68</v>
      </c>
    </row>
    <row r="32" spans="1:4" s="7" customFormat="1" ht="26.25" customHeight="1">
      <c r="A32" s="4">
        <v>23</v>
      </c>
      <c r="B32" s="5" t="s">
        <v>69</v>
      </c>
      <c r="C32" s="5" t="s">
        <v>9</v>
      </c>
      <c r="D32" s="8">
        <v>17415</v>
      </c>
    </row>
    <row r="33" spans="1:4" s="7" customFormat="1" ht="14.25" customHeight="1">
      <c r="A33" s="4"/>
      <c r="B33" s="10" t="s">
        <v>70</v>
      </c>
      <c r="C33" s="5" t="s">
        <v>65</v>
      </c>
      <c r="D33" s="11">
        <f>D32/10582.6/12</f>
        <v>0.13713548655339897</v>
      </c>
    </row>
    <row r="34" spans="1:4" s="7" customFormat="1" ht="14.25" customHeight="1">
      <c r="A34" s="12"/>
      <c r="B34" s="5" t="s">
        <v>25</v>
      </c>
      <c r="C34" s="5"/>
      <c r="D34" s="4" t="s">
        <v>71</v>
      </c>
    </row>
    <row r="35" spans="1:4" s="7" customFormat="1" ht="40.5" customHeight="1">
      <c r="A35" s="4">
        <v>24</v>
      </c>
      <c r="B35" s="5" t="s">
        <v>90</v>
      </c>
      <c r="C35" s="5" t="s">
        <v>9</v>
      </c>
      <c r="D35" s="8">
        <f>223795+38897</f>
        <v>262692</v>
      </c>
    </row>
    <row r="36" spans="1:4" s="7" customFormat="1" ht="14.25" customHeight="1">
      <c r="A36" s="4"/>
      <c r="B36" s="10" t="s">
        <v>72</v>
      </c>
      <c r="C36" s="5" t="s">
        <v>65</v>
      </c>
      <c r="D36" s="11">
        <f>223795/12/10582.7</f>
        <v>1.7622708130565292</v>
      </c>
    </row>
    <row r="37" spans="1:4" s="7" customFormat="1" ht="14.25" customHeight="1">
      <c r="A37" s="12"/>
      <c r="B37" s="5" t="s">
        <v>25</v>
      </c>
      <c r="C37" s="5"/>
      <c r="D37" s="4" t="s">
        <v>73</v>
      </c>
    </row>
    <row r="38" spans="1:4" s="7" customFormat="1" ht="14.25" customHeight="1">
      <c r="A38" s="4"/>
      <c r="B38" s="10" t="s">
        <v>74</v>
      </c>
      <c r="C38" s="5" t="s">
        <v>65</v>
      </c>
      <c r="D38" s="11">
        <f>38897/12/10852.7</f>
        <v>0.2986737555324174</v>
      </c>
    </row>
    <row r="39" spans="1:4" s="7" customFormat="1" ht="14.25" customHeight="1">
      <c r="A39" s="12"/>
      <c r="B39" s="5" t="s">
        <v>25</v>
      </c>
      <c r="C39" s="5"/>
      <c r="D39" s="4" t="s">
        <v>73</v>
      </c>
    </row>
    <row r="40" spans="1:4" s="7" customFormat="1" ht="25.5" customHeight="1">
      <c r="A40" s="4">
        <v>25</v>
      </c>
      <c r="B40" s="5" t="s">
        <v>89</v>
      </c>
      <c r="C40" s="5" t="s">
        <v>9</v>
      </c>
      <c r="D40" s="8">
        <v>70832</v>
      </c>
    </row>
    <row r="41" spans="1:4" s="7" customFormat="1" ht="27" customHeight="1">
      <c r="A41" s="4"/>
      <c r="B41" s="10" t="s">
        <v>92</v>
      </c>
      <c r="C41" s="5" t="s">
        <v>65</v>
      </c>
      <c r="D41" s="11">
        <f>D40/12/10582.6</f>
        <v>0.5577709321590788</v>
      </c>
    </row>
    <row r="42" spans="1:4" s="7" customFormat="1" ht="14.25" customHeight="1">
      <c r="A42" s="12"/>
      <c r="B42" s="5" t="s">
        <v>25</v>
      </c>
      <c r="C42" s="5"/>
      <c r="D42" s="4" t="s">
        <v>73</v>
      </c>
    </row>
    <row r="43" spans="1:4" s="7" customFormat="1" ht="54" customHeight="1">
      <c r="A43" s="4">
        <v>26</v>
      </c>
      <c r="B43" s="5" t="s">
        <v>77</v>
      </c>
      <c r="C43" s="5" t="s">
        <v>9</v>
      </c>
      <c r="D43" s="8">
        <v>684360</v>
      </c>
    </row>
    <row r="44" spans="1:4" s="7" customFormat="1" ht="14.25" customHeight="1">
      <c r="A44" s="4"/>
      <c r="B44" s="10" t="s">
        <v>78</v>
      </c>
      <c r="C44" s="5" t="s">
        <v>65</v>
      </c>
      <c r="D44" s="11">
        <f>D43/12/10582.6</f>
        <v>5.389034830759926</v>
      </c>
    </row>
    <row r="45" spans="1:4" s="7" customFormat="1" ht="14.25" customHeight="1">
      <c r="A45" s="12"/>
      <c r="B45" s="5" t="s">
        <v>25</v>
      </c>
      <c r="C45" s="5"/>
      <c r="D45" s="4" t="s">
        <v>68</v>
      </c>
    </row>
    <row r="46" spans="1:4" s="7" customFormat="1" ht="16.5" customHeight="1">
      <c r="A46" s="4">
        <v>27</v>
      </c>
      <c r="B46" s="5" t="s">
        <v>79</v>
      </c>
      <c r="C46" s="5" t="s">
        <v>9</v>
      </c>
      <c r="D46" s="8">
        <v>74385</v>
      </c>
    </row>
    <row r="47" spans="1:4" s="7" customFormat="1" ht="14.25" customHeight="1">
      <c r="A47" s="4"/>
      <c r="B47" s="10" t="s">
        <v>80</v>
      </c>
      <c r="C47" s="5" t="s">
        <v>65</v>
      </c>
      <c r="D47" s="11">
        <f>D46/10582.6/12</f>
        <v>0.5857492487668436</v>
      </c>
    </row>
    <row r="48" spans="1:4" s="7" customFormat="1" ht="14.25" customHeight="1">
      <c r="A48" s="12"/>
      <c r="B48" s="5" t="s">
        <v>25</v>
      </c>
      <c r="C48" s="5"/>
      <c r="D48" s="4" t="s">
        <v>81</v>
      </c>
    </row>
    <row r="49" spans="1:4" s="7" customFormat="1" ht="29.25" customHeight="1">
      <c r="A49" s="4">
        <v>28</v>
      </c>
      <c r="B49" s="5" t="s">
        <v>82</v>
      </c>
      <c r="C49" s="5" t="s">
        <v>9</v>
      </c>
      <c r="D49" s="8">
        <v>312471</v>
      </c>
    </row>
    <row r="50" spans="1:4" s="7" customFormat="1" ht="14.25" customHeight="1">
      <c r="A50" s="4"/>
      <c r="B50" s="10" t="s">
        <v>83</v>
      </c>
      <c r="C50" s="5" t="s">
        <v>65</v>
      </c>
      <c r="D50" s="11">
        <f>D49/12/10582.6</f>
        <v>2.460572071135638</v>
      </c>
    </row>
    <row r="51" spans="1:4" s="7" customFormat="1" ht="14.25" customHeight="1">
      <c r="A51" s="12"/>
      <c r="B51" s="5" t="s">
        <v>25</v>
      </c>
      <c r="C51" s="5"/>
      <c r="D51" s="4" t="s">
        <v>68</v>
      </c>
    </row>
    <row r="52" spans="1:4" s="7" customFormat="1" ht="29.25" customHeight="1">
      <c r="A52" s="4">
        <v>29</v>
      </c>
      <c r="B52" s="5" t="s">
        <v>84</v>
      </c>
      <c r="C52" s="5" t="s">
        <v>9</v>
      </c>
      <c r="D52" s="8">
        <v>417105</v>
      </c>
    </row>
    <row r="53" spans="1:4" s="7" customFormat="1" ht="28.5" customHeight="1">
      <c r="A53" s="4"/>
      <c r="B53" s="10" t="s">
        <v>85</v>
      </c>
      <c r="C53" s="5" t="s">
        <v>65</v>
      </c>
      <c r="D53" s="11">
        <f>D52/10582.6/12</f>
        <v>3.28451892729575</v>
      </c>
    </row>
    <row r="54" spans="1:4" s="7" customFormat="1" ht="14.25" customHeight="1">
      <c r="A54" s="12"/>
      <c r="B54" s="5" t="s">
        <v>25</v>
      </c>
      <c r="C54" s="5"/>
      <c r="D54" s="4" t="s">
        <v>73</v>
      </c>
    </row>
    <row r="55" spans="1:4" s="7" customFormat="1" ht="29.25" customHeight="1">
      <c r="A55" s="4">
        <v>30</v>
      </c>
      <c r="B55" s="5" t="s">
        <v>86</v>
      </c>
      <c r="C55" s="5" t="s">
        <v>9</v>
      </c>
      <c r="D55" s="8">
        <f>43455+17817</f>
        <v>61272</v>
      </c>
    </row>
    <row r="56" spans="1:4" s="7" customFormat="1" ht="28.5" customHeight="1">
      <c r="A56" s="4"/>
      <c r="B56" s="10" t="s">
        <v>87</v>
      </c>
      <c r="C56" s="5" t="s">
        <v>65</v>
      </c>
      <c r="D56" s="11">
        <f>D55/12/10582.6</f>
        <v>0.4824901253000208</v>
      </c>
    </row>
    <row r="57" spans="1:4" s="7" customFormat="1" ht="27.75" customHeight="1">
      <c r="A57" s="12"/>
      <c r="B57" s="5" t="s">
        <v>25</v>
      </c>
      <c r="C57" s="5"/>
      <c r="D57" s="4" t="s">
        <v>88</v>
      </c>
    </row>
    <row r="58" spans="1:4" s="7" customFormat="1" ht="16.5" customHeight="1">
      <c r="A58" s="36" t="s">
        <v>26</v>
      </c>
      <c r="B58" s="37"/>
      <c r="C58" s="37"/>
      <c r="D58" s="38"/>
    </row>
    <row r="59" spans="1:4" s="7" customFormat="1" ht="14.25" customHeight="1">
      <c r="A59" s="4">
        <v>31</v>
      </c>
      <c r="B59" s="5" t="s">
        <v>27</v>
      </c>
      <c r="C59" s="5" t="s">
        <v>28</v>
      </c>
      <c r="D59" s="4">
        <v>0</v>
      </c>
    </row>
    <row r="60" spans="1:4" s="7" customFormat="1" ht="14.25" customHeight="1">
      <c r="A60" s="4">
        <v>32</v>
      </c>
      <c r="B60" s="5" t="s">
        <v>29</v>
      </c>
      <c r="C60" s="5" t="s">
        <v>30</v>
      </c>
      <c r="D60" s="4">
        <v>0</v>
      </c>
    </row>
    <row r="61" spans="1:4" s="7" customFormat="1" ht="14.25" customHeight="1">
      <c r="A61" s="4">
        <v>33</v>
      </c>
      <c r="B61" s="5" t="s">
        <v>31</v>
      </c>
      <c r="C61" s="5" t="s">
        <v>28</v>
      </c>
      <c r="D61" s="4">
        <v>0</v>
      </c>
    </row>
    <row r="62" spans="1:4" s="7" customFormat="1" ht="14.25" customHeight="1">
      <c r="A62" s="4">
        <v>34</v>
      </c>
      <c r="B62" s="5" t="s">
        <v>32</v>
      </c>
      <c r="C62" s="5" t="s">
        <v>9</v>
      </c>
      <c r="D62" s="4">
        <v>0</v>
      </c>
    </row>
    <row r="63" spans="1:4" s="7" customFormat="1" ht="17.25" customHeight="1">
      <c r="A63" s="36" t="s">
        <v>33</v>
      </c>
      <c r="B63" s="37"/>
      <c r="C63" s="37"/>
      <c r="D63" s="38"/>
    </row>
    <row r="64" spans="1:4" s="7" customFormat="1" ht="25.5">
      <c r="A64" s="4">
        <v>35</v>
      </c>
      <c r="B64" s="5" t="s">
        <v>34</v>
      </c>
      <c r="C64" s="5" t="s">
        <v>9</v>
      </c>
      <c r="D64" s="8">
        <f>D66-D65</f>
        <v>382875.35000000003</v>
      </c>
    </row>
    <row r="65" spans="1:4" s="7" customFormat="1" ht="15" customHeight="1">
      <c r="A65" s="4">
        <v>36</v>
      </c>
      <c r="B65" s="5" t="s">
        <v>10</v>
      </c>
      <c r="C65" s="5" t="s">
        <v>9</v>
      </c>
      <c r="D65" s="8">
        <f>6156.17+2116.25+1741.69+3546.85+740.98</f>
        <v>14301.94</v>
      </c>
    </row>
    <row r="66" spans="1:4" s="7" customFormat="1" ht="15" customHeight="1">
      <c r="A66" s="4">
        <v>37</v>
      </c>
      <c r="B66" s="5" t="s">
        <v>11</v>
      </c>
      <c r="C66" s="5" t="s">
        <v>9</v>
      </c>
      <c r="D66" s="8">
        <f>104659.21+49815.86+42532.14+54401.69+148090.06-2321.67</f>
        <v>397177.29000000004</v>
      </c>
    </row>
    <row r="67" spans="1:4" s="7" customFormat="1" ht="25.5">
      <c r="A67" s="4">
        <v>38</v>
      </c>
      <c r="B67" s="5" t="s">
        <v>35</v>
      </c>
      <c r="C67" s="5" t="s">
        <v>9</v>
      </c>
      <c r="D67" s="8">
        <f>D69-D68</f>
        <v>343745.54</v>
      </c>
    </row>
    <row r="68" spans="1:5" s="7" customFormat="1" ht="13.5" customHeight="1">
      <c r="A68" s="4">
        <v>39</v>
      </c>
      <c r="B68" s="5" t="s">
        <v>10</v>
      </c>
      <c r="C68" s="5" t="s">
        <v>9</v>
      </c>
      <c r="D68" s="8">
        <f>2640.97+723.79+596.14+1677.13+777.31</f>
        <v>6415.34</v>
      </c>
      <c r="E68" s="14"/>
    </row>
    <row r="69" spans="1:4" s="7" customFormat="1" ht="13.5" customHeight="1">
      <c r="A69" s="4">
        <v>40</v>
      </c>
      <c r="B69" s="5" t="s">
        <v>11</v>
      </c>
      <c r="C69" s="5" t="s">
        <v>9</v>
      </c>
      <c r="D69" s="8">
        <f>116579.85+51059.23+37970.84+34357.36+110193.6</f>
        <v>350160.88</v>
      </c>
    </row>
    <row r="70" spans="1:4" s="7" customFormat="1" ht="18" customHeight="1">
      <c r="A70" s="36" t="s">
        <v>52</v>
      </c>
      <c r="B70" s="37"/>
      <c r="C70" s="37"/>
      <c r="D70" s="38"/>
    </row>
    <row r="71" spans="1:4" s="7" customFormat="1" ht="12.75">
      <c r="A71" s="4">
        <v>41</v>
      </c>
      <c r="B71" s="5" t="s">
        <v>36</v>
      </c>
      <c r="C71" s="5"/>
      <c r="D71" s="15" t="s">
        <v>53</v>
      </c>
    </row>
    <row r="72" spans="1:4" s="7" customFormat="1" ht="12.75">
      <c r="A72" s="4">
        <f>A71+1</f>
        <v>42</v>
      </c>
      <c r="B72" s="5" t="s">
        <v>37</v>
      </c>
      <c r="C72" s="5"/>
      <c r="D72" s="4" t="s">
        <v>59</v>
      </c>
    </row>
    <row r="73" spans="1:4" s="7" customFormat="1" ht="12.75">
      <c r="A73" s="4">
        <f aca="true" t="shared" si="0" ref="A73:A90">A72+1</f>
        <v>43</v>
      </c>
      <c r="B73" s="5" t="s">
        <v>38</v>
      </c>
      <c r="C73" s="5" t="s">
        <v>39</v>
      </c>
      <c r="D73" s="4">
        <f>(52.38+44.64+40.25+39.83+48.17+39.02+38.92+36.76+37.49+42.09+48.43+42.61)*1000</f>
        <v>510590.0000000001</v>
      </c>
    </row>
    <row r="74" spans="1:4" s="7" customFormat="1" ht="12.75">
      <c r="A74" s="4">
        <f t="shared" si="0"/>
        <v>44</v>
      </c>
      <c r="B74" s="5" t="s">
        <v>40</v>
      </c>
      <c r="C74" s="5" t="s">
        <v>9</v>
      </c>
      <c r="D74" s="8">
        <v>1066838.59</v>
      </c>
    </row>
    <row r="75" spans="1:4" s="7" customFormat="1" ht="12.75">
      <c r="A75" s="4">
        <f t="shared" si="0"/>
        <v>45</v>
      </c>
      <c r="B75" s="5" t="s">
        <v>41</v>
      </c>
      <c r="C75" s="5" t="s">
        <v>9</v>
      </c>
      <c r="D75" s="8">
        <v>1104771.38</v>
      </c>
    </row>
    <row r="76" spans="1:4" s="7" customFormat="1" ht="12.75">
      <c r="A76" s="4">
        <f t="shared" si="0"/>
        <v>46</v>
      </c>
      <c r="B76" s="5" t="s">
        <v>42</v>
      </c>
      <c r="C76" s="5" t="s">
        <v>9</v>
      </c>
      <c r="D76" s="8">
        <f>D74-D75</f>
        <v>-37932.789999999804</v>
      </c>
    </row>
    <row r="77" spans="1:4" s="18" customFormat="1" ht="12.75">
      <c r="A77" s="4">
        <f t="shared" si="0"/>
        <v>47</v>
      </c>
      <c r="B77" s="16" t="s">
        <v>43</v>
      </c>
      <c r="C77" s="16" t="s">
        <v>9</v>
      </c>
      <c r="D77" s="17">
        <v>1066413.5</v>
      </c>
    </row>
    <row r="78" spans="1:4" s="18" customFormat="1" ht="12.75">
      <c r="A78" s="4">
        <f t="shared" si="0"/>
        <v>48</v>
      </c>
      <c r="B78" s="16" t="s">
        <v>44</v>
      </c>
      <c r="C78" s="16" t="s">
        <v>9</v>
      </c>
      <c r="D78" s="17">
        <v>1074048</v>
      </c>
    </row>
    <row r="79" spans="1:4" s="18" customFormat="1" ht="12.75">
      <c r="A79" s="4">
        <f t="shared" si="0"/>
        <v>49</v>
      </c>
      <c r="B79" s="16" t="s">
        <v>45</v>
      </c>
      <c r="C79" s="16" t="s">
        <v>9</v>
      </c>
      <c r="D79" s="17">
        <f>D78-D77</f>
        <v>7634.5</v>
      </c>
    </row>
    <row r="80" spans="1:4" s="18" customFormat="1" ht="25.5">
      <c r="A80" s="4">
        <f t="shared" si="0"/>
        <v>50</v>
      </c>
      <c r="B80" s="16" t="s">
        <v>46</v>
      </c>
      <c r="C80" s="16" t="s">
        <v>9</v>
      </c>
      <c r="D80" s="19">
        <v>0</v>
      </c>
    </row>
    <row r="81" spans="1:4" s="7" customFormat="1" ht="24">
      <c r="A81" s="4">
        <f t="shared" si="0"/>
        <v>51</v>
      </c>
      <c r="B81" s="5" t="s">
        <v>36</v>
      </c>
      <c r="C81" s="5"/>
      <c r="D81" s="15" t="s">
        <v>54</v>
      </c>
    </row>
    <row r="82" spans="1:4" s="7" customFormat="1" ht="12.75">
      <c r="A82" s="4">
        <f t="shared" si="0"/>
        <v>52</v>
      </c>
      <c r="B82" s="5" t="s">
        <v>37</v>
      </c>
      <c r="C82" s="5"/>
      <c r="D82" s="4" t="s">
        <v>60</v>
      </c>
    </row>
    <row r="83" spans="1:4" s="7" customFormat="1" ht="12.75">
      <c r="A83" s="4">
        <f t="shared" si="0"/>
        <v>53</v>
      </c>
      <c r="B83" s="5" t="s">
        <v>38</v>
      </c>
      <c r="C83" s="5" t="s">
        <v>39</v>
      </c>
      <c r="D83" s="4">
        <f>52.397+1575.603+52.747+1541.253+58.992+1509.008+56.691+1391.309+38.123+1374.877+69.18+1618.82+220.076+1285.924+38.971+1548.029+47.157+1493.843+39.038+1607.962+31.677+1723.323+920.655+58.447+1564.553</f>
        <v>19918.655</v>
      </c>
    </row>
    <row r="84" spans="1:4" s="7" customFormat="1" ht="12.75">
      <c r="A84" s="4">
        <f t="shared" si="0"/>
        <v>54</v>
      </c>
      <c r="B84" s="5" t="s">
        <v>40</v>
      </c>
      <c r="C84" s="5" t="s">
        <v>9</v>
      </c>
      <c r="D84" s="8">
        <f>519619.5</f>
        <v>519619.5</v>
      </c>
    </row>
    <row r="85" spans="1:4" s="7" customFormat="1" ht="12.75">
      <c r="A85" s="4">
        <f t="shared" si="0"/>
        <v>55</v>
      </c>
      <c r="B85" s="5" t="s">
        <v>41</v>
      </c>
      <c r="C85" s="5" t="s">
        <v>9</v>
      </c>
      <c r="D85" s="8">
        <v>516983.67</v>
      </c>
    </row>
    <row r="86" spans="1:4" s="7" customFormat="1" ht="12.75">
      <c r="A86" s="4">
        <f t="shared" si="0"/>
        <v>56</v>
      </c>
      <c r="B86" s="5" t="s">
        <v>42</v>
      </c>
      <c r="C86" s="5" t="s">
        <v>9</v>
      </c>
      <c r="D86" s="8">
        <f>D84-D85</f>
        <v>2635.8300000000163</v>
      </c>
    </row>
    <row r="87" spans="1:4" s="18" customFormat="1" ht="12.75">
      <c r="A87" s="4">
        <f t="shared" si="0"/>
        <v>57</v>
      </c>
      <c r="B87" s="16" t="s">
        <v>43</v>
      </c>
      <c r="C87" s="16" t="s">
        <v>9</v>
      </c>
      <c r="D87" s="17">
        <f>535845.59</f>
        <v>535845.59</v>
      </c>
    </row>
    <row r="88" spans="1:4" s="18" customFormat="1" ht="12.75">
      <c r="A88" s="4">
        <f t="shared" si="0"/>
        <v>58</v>
      </c>
      <c r="B88" s="16" t="s">
        <v>44</v>
      </c>
      <c r="C88" s="16" t="s">
        <v>9</v>
      </c>
      <c r="D88" s="17">
        <v>550336</v>
      </c>
    </row>
    <row r="89" spans="1:4" s="18" customFormat="1" ht="12.75">
      <c r="A89" s="4">
        <f t="shared" si="0"/>
        <v>59</v>
      </c>
      <c r="B89" s="16" t="s">
        <v>45</v>
      </c>
      <c r="C89" s="16" t="s">
        <v>9</v>
      </c>
      <c r="D89" s="17">
        <f>D88-D87</f>
        <v>14490.410000000033</v>
      </c>
    </row>
    <row r="90" spans="1:4" s="18" customFormat="1" ht="25.5">
      <c r="A90" s="4">
        <f t="shared" si="0"/>
        <v>60</v>
      </c>
      <c r="B90" s="16" t="s">
        <v>46</v>
      </c>
      <c r="C90" s="16" t="s">
        <v>9</v>
      </c>
      <c r="D90" s="19">
        <v>0</v>
      </c>
    </row>
    <row r="91" spans="1:4" s="7" customFormat="1" ht="25.5">
      <c r="A91" s="4">
        <v>61</v>
      </c>
      <c r="B91" s="5" t="s">
        <v>36</v>
      </c>
      <c r="C91" s="5"/>
      <c r="D91" s="20" t="s">
        <v>55</v>
      </c>
    </row>
    <row r="92" spans="1:4" s="7" customFormat="1" ht="12.75">
      <c r="A92" s="4">
        <v>62</v>
      </c>
      <c r="B92" s="5" t="s">
        <v>37</v>
      </c>
      <c r="C92" s="5"/>
      <c r="D92" s="4" t="s">
        <v>60</v>
      </c>
    </row>
    <row r="93" spans="1:4" s="7" customFormat="1" ht="12.75">
      <c r="A93" s="4">
        <v>63</v>
      </c>
      <c r="B93" s="5" t="s">
        <v>38</v>
      </c>
      <c r="C93" s="5" t="s">
        <v>39</v>
      </c>
      <c r="D93" s="4">
        <v>11226</v>
      </c>
    </row>
    <row r="94" spans="1:4" s="7" customFormat="1" ht="12.75">
      <c r="A94" s="4">
        <v>64</v>
      </c>
      <c r="B94" s="5" t="s">
        <v>40</v>
      </c>
      <c r="C94" s="5" t="s">
        <v>9</v>
      </c>
      <c r="D94" s="8">
        <v>329810.35</v>
      </c>
    </row>
    <row r="95" spans="1:4" s="7" customFormat="1" ht="12.75">
      <c r="A95" s="4">
        <v>65</v>
      </c>
      <c r="B95" s="5" t="s">
        <v>41</v>
      </c>
      <c r="C95" s="5" t="s">
        <v>9</v>
      </c>
      <c r="D95" s="8">
        <v>347984.96</v>
      </c>
    </row>
    <row r="96" spans="1:4" s="7" customFormat="1" ht="12.75">
      <c r="A96" s="4">
        <v>66</v>
      </c>
      <c r="B96" s="5" t="s">
        <v>42</v>
      </c>
      <c r="C96" s="5" t="s">
        <v>9</v>
      </c>
      <c r="D96" s="8">
        <f>D94-D95</f>
        <v>-18174.610000000044</v>
      </c>
    </row>
    <row r="97" spans="1:4" s="18" customFormat="1" ht="12.75">
      <c r="A97" s="4">
        <v>67</v>
      </c>
      <c r="B97" s="16" t="s">
        <v>43</v>
      </c>
      <c r="C97" s="16" t="s">
        <v>9</v>
      </c>
      <c r="D97" s="17">
        <f>361615.4+90.37</f>
        <v>361705.77</v>
      </c>
    </row>
    <row r="98" spans="1:4" s="18" customFormat="1" ht="12.75">
      <c r="A98" s="4">
        <v>68</v>
      </c>
      <c r="B98" s="16" t="s">
        <v>44</v>
      </c>
      <c r="C98" s="16" t="s">
        <v>9</v>
      </c>
      <c r="D98" s="17">
        <v>344027</v>
      </c>
    </row>
    <row r="99" spans="1:4" s="18" customFormat="1" ht="12.75">
      <c r="A99" s="4">
        <v>69</v>
      </c>
      <c r="B99" s="16" t="s">
        <v>45</v>
      </c>
      <c r="C99" s="16" t="s">
        <v>9</v>
      </c>
      <c r="D99" s="17">
        <f>D98-D97</f>
        <v>-17678.77000000002</v>
      </c>
    </row>
    <row r="100" spans="1:4" s="18" customFormat="1" ht="25.5">
      <c r="A100" s="4">
        <v>70</v>
      </c>
      <c r="B100" s="16" t="s">
        <v>46</v>
      </c>
      <c r="C100" s="16" t="s">
        <v>9</v>
      </c>
      <c r="D100" s="19">
        <v>0</v>
      </c>
    </row>
    <row r="101" spans="1:4" s="7" customFormat="1" ht="24">
      <c r="A101" s="4">
        <v>71</v>
      </c>
      <c r="B101" s="5" t="s">
        <v>36</v>
      </c>
      <c r="C101" s="5"/>
      <c r="D101" s="15" t="s">
        <v>58</v>
      </c>
    </row>
    <row r="102" spans="1:4" s="7" customFormat="1" ht="12.75">
      <c r="A102" s="4">
        <v>72</v>
      </c>
      <c r="B102" s="5" t="s">
        <v>37</v>
      </c>
      <c r="C102" s="5"/>
      <c r="D102" s="4" t="s">
        <v>61</v>
      </c>
    </row>
    <row r="103" spans="1:4" s="7" customFormat="1" ht="12.75">
      <c r="A103" s="4">
        <v>73</v>
      </c>
      <c r="B103" s="5" t="s">
        <v>38</v>
      </c>
      <c r="C103" s="5" t="s">
        <v>39</v>
      </c>
      <c r="D103" s="4">
        <v>1777</v>
      </c>
    </row>
    <row r="104" spans="1:4" s="7" customFormat="1" ht="12.75">
      <c r="A104" s="4">
        <v>74</v>
      </c>
      <c r="B104" s="5" t="s">
        <v>40</v>
      </c>
      <c r="C104" s="5" t="s">
        <v>9</v>
      </c>
      <c r="D104" s="8">
        <v>1326058.2</v>
      </c>
    </row>
    <row r="105" spans="1:4" s="7" customFormat="1" ht="12.75">
      <c r="A105" s="4">
        <v>75</v>
      </c>
      <c r="B105" s="5" t="s">
        <v>41</v>
      </c>
      <c r="C105" s="5" t="s">
        <v>9</v>
      </c>
      <c r="D105" s="8">
        <v>1310622.36</v>
      </c>
    </row>
    <row r="106" spans="1:4" s="7" customFormat="1" ht="12.75">
      <c r="A106" s="4">
        <v>76</v>
      </c>
      <c r="B106" s="5" t="s">
        <v>42</v>
      </c>
      <c r="C106" s="5" t="s">
        <v>9</v>
      </c>
      <c r="D106" s="8">
        <f>D104-D105</f>
        <v>15435.839999999851</v>
      </c>
    </row>
    <row r="107" spans="1:4" s="18" customFormat="1" ht="12.75">
      <c r="A107" s="4">
        <v>77</v>
      </c>
      <c r="B107" s="16" t="s">
        <v>43</v>
      </c>
      <c r="C107" s="16" t="s">
        <v>9</v>
      </c>
      <c r="D107" s="17">
        <f>1257209.82</f>
        <v>1257209.82</v>
      </c>
    </row>
    <row r="108" spans="1:4" s="18" customFormat="1" ht="12.75">
      <c r="A108" s="4">
        <v>78</v>
      </c>
      <c r="B108" s="16" t="s">
        <v>44</v>
      </c>
      <c r="C108" s="16" t="s">
        <v>9</v>
      </c>
      <c r="D108" s="17">
        <v>1196243</v>
      </c>
    </row>
    <row r="109" spans="1:4" s="18" customFormat="1" ht="12.75">
      <c r="A109" s="4">
        <v>79</v>
      </c>
      <c r="B109" s="16" t="s">
        <v>45</v>
      </c>
      <c r="C109" s="16" t="s">
        <v>9</v>
      </c>
      <c r="D109" s="17">
        <f>D108-D107</f>
        <v>-60966.820000000065</v>
      </c>
    </row>
    <row r="110" spans="1:4" s="18" customFormat="1" ht="25.5">
      <c r="A110" s="4">
        <v>80</v>
      </c>
      <c r="B110" s="16" t="s">
        <v>46</v>
      </c>
      <c r="C110" s="16" t="s">
        <v>9</v>
      </c>
      <c r="D110" s="19">
        <v>0</v>
      </c>
    </row>
    <row r="111" spans="1:4" s="7" customFormat="1" ht="12.75">
      <c r="A111" s="4">
        <f>A110+1</f>
        <v>81</v>
      </c>
      <c r="B111" s="5" t="s">
        <v>36</v>
      </c>
      <c r="C111" s="5"/>
      <c r="D111" s="20" t="s">
        <v>56</v>
      </c>
    </row>
    <row r="112" spans="1:4" s="7" customFormat="1" ht="12.75">
      <c r="A112" s="4">
        <f aca="true" t="shared" si="1" ref="A112:A120">A111+1</f>
        <v>82</v>
      </c>
      <c r="B112" s="5" t="s">
        <v>37</v>
      </c>
      <c r="C112" s="5"/>
      <c r="D112" s="4" t="s">
        <v>60</v>
      </c>
    </row>
    <row r="113" spans="1:4" s="7" customFormat="1" ht="12.75">
      <c r="A113" s="4">
        <f t="shared" si="1"/>
        <v>83</v>
      </c>
      <c r="B113" s="5" t="s">
        <v>38</v>
      </c>
      <c r="C113" s="5" t="s">
        <v>39</v>
      </c>
      <c r="D113" s="4">
        <f>71.518+2432.567+70.288+2390.342+74.366+2368.972+94.442+2328.859+55.693+2249.115+86.6+2306.994+287.202+2047.643+58.618+2142.227+63.762+2240.451+55.85+2250.164+43.313+2340.798+91.02+2259.573</f>
        <v>28410.376999999993</v>
      </c>
    </row>
    <row r="114" spans="1:4" s="7" customFormat="1" ht="12.75">
      <c r="A114" s="4">
        <f t="shared" si="1"/>
        <v>84</v>
      </c>
      <c r="B114" s="5" t="s">
        <v>40</v>
      </c>
      <c r="C114" s="5" t="s">
        <v>9</v>
      </c>
      <c r="D114" s="8">
        <f>381608.97</f>
        <v>381608.97</v>
      </c>
    </row>
    <row r="115" spans="1:4" s="7" customFormat="1" ht="12.75">
      <c r="A115" s="4">
        <f t="shared" si="1"/>
        <v>85</v>
      </c>
      <c r="B115" s="5" t="s">
        <v>41</v>
      </c>
      <c r="C115" s="5" t="s">
        <v>9</v>
      </c>
      <c r="D115" s="8">
        <v>385024.72</v>
      </c>
    </row>
    <row r="116" spans="1:4" s="7" customFormat="1" ht="12.75">
      <c r="A116" s="4">
        <f t="shared" si="1"/>
        <v>86</v>
      </c>
      <c r="B116" s="5" t="s">
        <v>42</v>
      </c>
      <c r="C116" s="5" t="s">
        <v>9</v>
      </c>
      <c r="D116" s="8">
        <f>D114-D115</f>
        <v>-3415.75</v>
      </c>
    </row>
    <row r="117" spans="1:4" s="18" customFormat="1" ht="12.75">
      <c r="A117" s="4">
        <f t="shared" si="1"/>
        <v>87</v>
      </c>
      <c r="B117" s="16" t="s">
        <v>43</v>
      </c>
      <c r="C117" s="16" t="s">
        <v>9</v>
      </c>
      <c r="D117" s="17">
        <v>392290.46</v>
      </c>
    </row>
    <row r="118" spans="1:4" s="18" customFormat="1" ht="12.75">
      <c r="A118" s="4">
        <f t="shared" si="1"/>
        <v>88</v>
      </c>
      <c r="B118" s="16" t="s">
        <v>44</v>
      </c>
      <c r="C118" s="16" t="s">
        <v>9</v>
      </c>
      <c r="D118" s="17">
        <v>400314</v>
      </c>
    </row>
    <row r="119" spans="1:4" s="18" customFormat="1" ht="12.75">
      <c r="A119" s="4">
        <f t="shared" si="1"/>
        <v>89</v>
      </c>
      <c r="B119" s="16" t="s">
        <v>45</v>
      </c>
      <c r="C119" s="16" t="s">
        <v>9</v>
      </c>
      <c r="D119" s="17">
        <f>D118-D117</f>
        <v>8023.539999999979</v>
      </c>
    </row>
    <row r="120" spans="1:4" s="18" customFormat="1" ht="25.5">
      <c r="A120" s="4">
        <f t="shared" si="1"/>
        <v>90</v>
      </c>
      <c r="B120" s="16" t="s">
        <v>46</v>
      </c>
      <c r="C120" s="16" t="s">
        <v>9</v>
      </c>
      <c r="D120" s="17">
        <v>0</v>
      </c>
    </row>
    <row r="121" spans="1:4" s="18" customFormat="1" ht="16.5" customHeight="1">
      <c r="A121" s="36" t="s">
        <v>47</v>
      </c>
      <c r="B121" s="37"/>
      <c r="C121" s="37"/>
      <c r="D121" s="38"/>
    </row>
    <row r="122" spans="1:4" s="18" customFormat="1" ht="12.75">
      <c r="A122" s="4">
        <f>A120+1</f>
        <v>91</v>
      </c>
      <c r="B122" s="16" t="s">
        <v>27</v>
      </c>
      <c r="C122" s="16" t="s">
        <v>28</v>
      </c>
      <c r="D122" s="19">
        <v>2</v>
      </c>
    </row>
    <row r="123" spans="1:4" s="18" customFormat="1" ht="12.75">
      <c r="A123" s="4">
        <f>A122+1</f>
        <v>92</v>
      </c>
      <c r="B123" s="16" t="s">
        <v>29</v>
      </c>
      <c r="C123" s="16" t="s">
        <v>28</v>
      </c>
      <c r="D123" s="19">
        <v>2</v>
      </c>
    </row>
    <row r="124" spans="1:4" s="18" customFormat="1" ht="12.75">
      <c r="A124" s="4">
        <f>A122+1</f>
        <v>92</v>
      </c>
      <c r="B124" s="16" t="s">
        <v>31</v>
      </c>
      <c r="C124" s="16" t="s">
        <v>28</v>
      </c>
      <c r="D124" s="19">
        <v>0</v>
      </c>
    </row>
    <row r="125" spans="1:4" s="18" customFormat="1" ht="12.75">
      <c r="A125" s="4">
        <f>A123+1</f>
        <v>93</v>
      </c>
      <c r="B125" s="16" t="s">
        <v>32</v>
      </c>
      <c r="C125" s="16" t="s">
        <v>9</v>
      </c>
      <c r="D125" s="19">
        <v>445</v>
      </c>
    </row>
    <row r="126" spans="1:4" s="18" customFormat="1" ht="21" customHeight="1">
      <c r="A126" s="36" t="s">
        <v>48</v>
      </c>
      <c r="B126" s="37"/>
      <c r="C126" s="37"/>
      <c r="D126" s="38"/>
    </row>
    <row r="127" spans="1:4" s="18" customFormat="1" ht="12.75">
      <c r="A127" s="4">
        <f>A125+1</f>
        <v>94</v>
      </c>
      <c r="B127" s="16" t="s">
        <v>49</v>
      </c>
      <c r="C127" s="16" t="s">
        <v>28</v>
      </c>
      <c r="D127" s="19">
        <v>0</v>
      </c>
    </row>
    <row r="128" spans="1:4" s="18" customFormat="1" ht="12.75">
      <c r="A128" s="4">
        <v>95</v>
      </c>
      <c r="B128" s="16" t="s">
        <v>50</v>
      </c>
      <c r="C128" s="16" t="s">
        <v>28</v>
      </c>
      <c r="D128" s="19">
        <v>0</v>
      </c>
    </row>
    <row r="129" spans="1:4" s="18" customFormat="1" ht="25.5">
      <c r="A129" s="4">
        <v>96</v>
      </c>
      <c r="B129" s="16" t="s">
        <v>51</v>
      </c>
      <c r="C129" s="16" t="s">
        <v>9</v>
      </c>
      <c r="D129" s="19">
        <v>0</v>
      </c>
    </row>
    <row r="130" spans="1:4" s="18" customFormat="1" ht="12.75">
      <c r="A130" s="21"/>
      <c r="B130" s="22"/>
      <c r="C130" s="22"/>
      <c r="D130" s="22"/>
    </row>
    <row r="131" spans="1:4" ht="15">
      <c r="A131" s="23"/>
      <c r="B131" s="24"/>
      <c r="C131" s="24"/>
      <c r="D131" s="24"/>
    </row>
    <row r="132" spans="1:4" ht="15">
      <c r="A132" s="23"/>
      <c r="B132" s="24"/>
      <c r="C132" s="24"/>
      <c r="D132" s="24"/>
    </row>
    <row r="133" spans="1:4" ht="15">
      <c r="A133" s="23"/>
      <c r="B133" s="24"/>
      <c r="C133" s="24"/>
      <c r="D133" s="24"/>
    </row>
    <row r="134" spans="1:4" ht="15">
      <c r="A134" s="23"/>
      <c r="B134" s="24"/>
      <c r="C134" s="24"/>
      <c r="D134" s="24"/>
    </row>
    <row r="135" spans="1:4" ht="15">
      <c r="A135" s="23"/>
      <c r="B135" s="24"/>
      <c r="C135" s="24"/>
      <c r="D135" s="24"/>
    </row>
    <row r="136" spans="1:4" ht="15">
      <c r="A136" s="23"/>
      <c r="B136" s="24"/>
      <c r="C136" s="24"/>
      <c r="D136" s="24"/>
    </row>
    <row r="137" spans="1:4" ht="15">
      <c r="A137" s="23"/>
      <c r="B137" s="24"/>
      <c r="C137" s="24"/>
      <c r="D137" s="24"/>
    </row>
    <row r="138" spans="1:4" ht="15">
      <c r="A138" s="23"/>
      <c r="B138" s="24"/>
      <c r="C138" s="24"/>
      <c r="D138" s="24"/>
    </row>
    <row r="139" spans="1:4" ht="15">
      <c r="A139" s="23"/>
      <c r="B139" s="24"/>
      <c r="C139" s="24"/>
      <c r="D139" s="24"/>
    </row>
    <row r="140" spans="1:4" ht="15">
      <c r="A140" s="23"/>
      <c r="B140" s="24"/>
      <c r="C140" s="24"/>
      <c r="D140" s="24"/>
    </row>
    <row r="141" spans="1:4" ht="15">
      <c r="A141" s="23"/>
      <c r="B141" s="24"/>
      <c r="C141" s="24"/>
      <c r="D141" s="24"/>
    </row>
    <row r="142" spans="1:4" ht="15">
      <c r="A142" s="23"/>
      <c r="B142" s="24"/>
      <c r="C142" s="24"/>
      <c r="D142" s="24"/>
    </row>
    <row r="143" spans="1:4" ht="15">
      <c r="A143" s="23"/>
      <c r="B143" s="24"/>
      <c r="C143" s="24"/>
      <c r="D143" s="24"/>
    </row>
    <row r="144" spans="1:4" ht="15">
      <c r="A144" s="23"/>
      <c r="B144" s="24"/>
      <c r="C144" s="24"/>
      <c r="D144" s="24"/>
    </row>
    <row r="145" spans="1:4" ht="15">
      <c r="A145" s="23"/>
      <c r="B145" s="24"/>
      <c r="C145" s="24"/>
      <c r="D145" s="24"/>
    </row>
    <row r="146" spans="1:4" ht="15">
      <c r="A146" s="23"/>
      <c r="B146" s="24"/>
      <c r="C146" s="24"/>
      <c r="D146" s="24"/>
    </row>
    <row r="147" spans="1:4" ht="15">
      <c r="A147" s="23"/>
      <c r="B147" s="24"/>
      <c r="C147" s="24"/>
      <c r="D147" s="24"/>
    </row>
    <row r="148" spans="1:4" ht="15">
      <c r="A148" s="23"/>
      <c r="B148" s="24"/>
      <c r="C148" s="24"/>
      <c r="D148" s="24"/>
    </row>
    <row r="149" spans="1:4" ht="15">
      <c r="A149" s="23"/>
      <c r="B149" s="24"/>
      <c r="C149" s="24"/>
      <c r="D149" s="24"/>
    </row>
    <row r="150" spans="1:4" ht="15">
      <c r="A150" s="23"/>
      <c r="B150" s="24"/>
      <c r="C150" s="24"/>
      <c r="D150" s="24"/>
    </row>
    <row r="151" spans="1:4" ht="15">
      <c r="A151" s="23"/>
      <c r="B151" s="24"/>
      <c r="C151" s="24"/>
      <c r="D151" s="24"/>
    </row>
    <row r="152" spans="1:4" ht="15">
      <c r="A152" s="23"/>
      <c r="B152" s="24"/>
      <c r="C152" s="24"/>
      <c r="D152" s="24"/>
    </row>
    <row r="153" spans="1:4" ht="15">
      <c r="A153" s="23"/>
      <c r="B153" s="24"/>
      <c r="C153" s="24"/>
      <c r="D153" s="24"/>
    </row>
    <row r="154" spans="1:4" ht="15">
      <c r="A154" s="23"/>
      <c r="B154" s="24"/>
      <c r="C154" s="24"/>
      <c r="D154" s="24"/>
    </row>
    <row r="155" spans="1:4" ht="15">
      <c r="A155" s="23"/>
      <c r="B155" s="24"/>
      <c r="C155" s="24"/>
      <c r="D155" s="24"/>
    </row>
    <row r="156" spans="1:4" ht="15">
      <c r="A156" s="23"/>
      <c r="B156" s="24"/>
      <c r="C156" s="24"/>
      <c r="D156" s="24"/>
    </row>
    <row r="157" spans="1:4" ht="15">
      <c r="A157" s="23"/>
      <c r="B157" s="24"/>
      <c r="C157" s="24"/>
      <c r="D157" s="24"/>
    </row>
  </sheetData>
  <sheetProtection/>
  <mergeCells count="8">
    <mergeCell ref="A126:D126"/>
    <mergeCell ref="A1:D1"/>
    <mergeCell ref="A7:D7"/>
    <mergeCell ref="A25:D25"/>
    <mergeCell ref="A58:D58"/>
    <mergeCell ref="A63:D63"/>
    <mergeCell ref="A70:D70"/>
    <mergeCell ref="A121:D12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37">
      <selection activeCell="D57" activeCellId="9" sqref="D26 D29 D32 D35 D40 D45 D48 D51 D54 D57"/>
    </sheetView>
  </sheetViews>
  <sheetFormatPr defaultColWidth="9.140625" defaultRowHeight="15"/>
  <cols>
    <col min="1" max="1" width="6.28125" style="25" customWidth="1"/>
    <col min="2" max="2" width="51.421875" style="1" customWidth="1"/>
    <col min="3" max="3" width="9.140625" style="1" customWidth="1"/>
    <col min="4" max="4" width="16.140625" style="1" customWidth="1"/>
    <col min="5" max="16384" width="9.140625" style="1" customWidth="1"/>
  </cols>
  <sheetData>
    <row r="1" spans="1:4" ht="33.75" customHeight="1">
      <c r="A1" s="39" t="s">
        <v>103</v>
      </c>
      <c r="B1" s="39"/>
      <c r="C1" s="39"/>
      <c r="D1" s="39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2.75">
      <c r="A4" s="4">
        <v>1</v>
      </c>
      <c r="B4" s="5" t="s">
        <v>4</v>
      </c>
      <c r="C4" s="4" t="s">
        <v>57</v>
      </c>
      <c r="D4" s="6">
        <v>42825</v>
      </c>
    </row>
    <row r="5" spans="1:4" s="7" customFormat="1" ht="12.75">
      <c r="A5" s="4">
        <v>2</v>
      </c>
      <c r="B5" s="5" t="s">
        <v>5</v>
      </c>
      <c r="C5" s="4" t="s">
        <v>57</v>
      </c>
      <c r="D5" s="6">
        <v>42398</v>
      </c>
    </row>
    <row r="6" spans="1:4" s="7" customFormat="1" ht="12.75">
      <c r="A6" s="4">
        <v>3</v>
      </c>
      <c r="B6" s="5" t="s">
        <v>6</v>
      </c>
      <c r="C6" s="4" t="s">
        <v>57</v>
      </c>
      <c r="D6" s="6">
        <v>42735</v>
      </c>
    </row>
    <row r="7" spans="1:4" s="7" customFormat="1" ht="27.75" customHeight="1">
      <c r="A7" s="36" t="s">
        <v>7</v>
      </c>
      <c r="B7" s="37"/>
      <c r="C7" s="37"/>
      <c r="D7" s="38"/>
    </row>
    <row r="8" spans="1:4" s="7" customFormat="1" ht="12.75">
      <c r="A8" s="4">
        <v>4</v>
      </c>
      <c r="B8" s="5" t="s">
        <v>8</v>
      </c>
      <c r="C8" s="5" t="s">
        <v>9</v>
      </c>
      <c r="D8" s="4">
        <f>D10-D9</f>
        <v>0</v>
      </c>
    </row>
    <row r="9" spans="1:4" s="7" customFormat="1" ht="12.75">
      <c r="A9" s="4">
        <v>5</v>
      </c>
      <c r="B9" s="5" t="s">
        <v>10</v>
      </c>
      <c r="C9" s="5" t="s">
        <v>9</v>
      </c>
      <c r="D9" s="9">
        <v>0</v>
      </c>
    </row>
    <row r="10" spans="1:4" s="7" customFormat="1" ht="12.75">
      <c r="A10" s="4">
        <v>6</v>
      </c>
      <c r="B10" s="5" t="s">
        <v>11</v>
      </c>
      <c r="C10" s="5" t="s">
        <v>9</v>
      </c>
      <c r="D10" s="9">
        <v>0</v>
      </c>
    </row>
    <row r="11" spans="1:4" s="7" customFormat="1" ht="25.5">
      <c r="A11" s="4">
        <v>7</v>
      </c>
      <c r="B11" s="5" t="s">
        <v>12</v>
      </c>
      <c r="C11" s="5"/>
      <c r="D11" s="8">
        <f>903157.8+27286.09+28685.81+44008.59+185696.58+18244.76+705566</f>
        <v>1912645.6300000001</v>
      </c>
    </row>
    <row r="12" spans="1:4" s="7" customFormat="1" ht="12.75">
      <c r="A12" s="4">
        <v>8</v>
      </c>
      <c r="B12" s="5" t="s">
        <v>13</v>
      </c>
      <c r="C12" s="5" t="s">
        <v>9</v>
      </c>
      <c r="D12" s="8">
        <f>D11-D14</f>
        <v>1479522.6300000001</v>
      </c>
    </row>
    <row r="13" spans="1:4" s="7" customFormat="1" ht="12.75">
      <c r="A13" s="4">
        <v>9</v>
      </c>
      <c r="B13" s="5" t="s">
        <v>14</v>
      </c>
      <c r="C13" s="5" t="s">
        <v>9</v>
      </c>
      <c r="D13" s="8">
        <v>0</v>
      </c>
    </row>
    <row r="14" spans="1:4" s="7" customFormat="1" ht="12.75">
      <c r="A14" s="4">
        <v>10</v>
      </c>
      <c r="B14" s="5" t="s">
        <v>15</v>
      </c>
      <c r="C14" s="5" t="s">
        <v>9</v>
      </c>
      <c r="D14" s="8">
        <v>433123</v>
      </c>
    </row>
    <row r="15" spans="1:4" s="7" customFormat="1" ht="12.75">
      <c r="A15" s="4">
        <v>11</v>
      </c>
      <c r="B15" s="5" t="s">
        <v>16</v>
      </c>
      <c r="C15" s="5" t="s">
        <v>9</v>
      </c>
      <c r="D15" s="8">
        <f>SUM(D16:D20)</f>
        <v>902744.1799999999</v>
      </c>
    </row>
    <row r="16" spans="1:4" s="7" customFormat="1" ht="12.75">
      <c r="A16" s="4">
        <v>12</v>
      </c>
      <c r="B16" s="5" t="s">
        <v>17</v>
      </c>
      <c r="C16" s="5" t="s">
        <v>9</v>
      </c>
      <c r="D16" s="8">
        <f>659093.1+25598.58+22511.38+34795.14+147142.93+13603.05</f>
        <v>902744.1799999999</v>
      </c>
    </row>
    <row r="17" spans="1:4" s="7" customFormat="1" ht="12.75">
      <c r="A17" s="4">
        <v>13</v>
      </c>
      <c r="B17" s="5" t="s">
        <v>18</v>
      </c>
      <c r="C17" s="5" t="s">
        <v>9</v>
      </c>
      <c r="D17" s="8">
        <v>0</v>
      </c>
    </row>
    <row r="18" spans="1:4" s="7" customFormat="1" ht="12.75">
      <c r="A18" s="4">
        <v>14</v>
      </c>
      <c r="B18" s="5" t="s">
        <v>19</v>
      </c>
      <c r="C18" s="5" t="s">
        <v>9</v>
      </c>
      <c r="D18" s="8">
        <v>0</v>
      </c>
    </row>
    <row r="19" spans="1:4" s="7" customFormat="1" ht="12.75">
      <c r="A19" s="4">
        <v>15</v>
      </c>
      <c r="B19" s="5" t="s">
        <v>20</v>
      </c>
      <c r="C19" s="5" t="s">
        <v>9</v>
      </c>
      <c r="D19" s="8">
        <v>0</v>
      </c>
    </row>
    <row r="20" spans="1:4" s="7" customFormat="1" ht="12.75">
      <c r="A20" s="4">
        <v>16</v>
      </c>
      <c r="B20" s="5" t="s">
        <v>21</v>
      </c>
      <c r="C20" s="5" t="s">
        <v>9</v>
      </c>
      <c r="D20" s="8">
        <v>0</v>
      </c>
    </row>
    <row r="21" spans="1:4" s="7" customFormat="1" ht="12.75">
      <c r="A21" s="4">
        <v>17</v>
      </c>
      <c r="B21" s="5" t="s">
        <v>22</v>
      </c>
      <c r="C21" s="5" t="s">
        <v>9</v>
      </c>
      <c r="D21" s="8">
        <f>D8+D15</f>
        <v>902744.1799999999</v>
      </c>
    </row>
    <row r="22" spans="1:4" s="7" customFormat="1" ht="12" customHeight="1">
      <c r="A22" s="4">
        <v>18</v>
      </c>
      <c r="B22" s="5" t="s">
        <v>23</v>
      </c>
      <c r="C22" s="5" t="s">
        <v>9</v>
      </c>
      <c r="D22" s="8">
        <f>D24-D23</f>
        <v>304335.45</v>
      </c>
    </row>
    <row r="23" spans="1:4" s="7" customFormat="1" ht="12.75">
      <c r="A23" s="4">
        <v>19</v>
      </c>
      <c r="B23" s="5" t="s">
        <v>10</v>
      </c>
      <c r="C23" s="5" t="s">
        <v>9</v>
      </c>
      <c r="D23" s="9">
        <f>308.61+2.41+13.59+14.47+60.32+6.02</f>
        <v>405.42</v>
      </c>
    </row>
    <row r="24" spans="1:4" s="7" customFormat="1" ht="12.75">
      <c r="A24" s="4">
        <v>20</v>
      </c>
      <c r="B24" s="5" t="s">
        <v>11</v>
      </c>
      <c r="C24" s="5" t="s">
        <v>9</v>
      </c>
      <c r="D24" s="9">
        <f>244373.31+1689.92+6188.02+9227.92+38613.97+4647.73</f>
        <v>304740.87</v>
      </c>
    </row>
    <row r="25" spans="1:4" s="7" customFormat="1" ht="26.25" customHeight="1">
      <c r="A25" s="36" t="s">
        <v>24</v>
      </c>
      <c r="B25" s="37"/>
      <c r="C25" s="37"/>
      <c r="D25" s="38"/>
    </row>
    <row r="26" spans="1:4" s="7" customFormat="1" ht="31.5" customHeight="1">
      <c r="A26" s="4">
        <v>21</v>
      </c>
      <c r="B26" s="5" t="s">
        <v>62</v>
      </c>
      <c r="C26" s="5" t="s">
        <v>9</v>
      </c>
      <c r="D26" s="8">
        <v>142174</v>
      </c>
    </row>
    <row r="27" spans="1:4" s="7" customFormat="1" ht="19.5" customHeight="1">
      <c r="A27" s="4"/>
      <c r="B27" s="5" t="s">
        <v>63</v>
      </c>
      <c r="C27" s="5" t="s">
        <v>65</v>
      </c>
      <c r="D27" s="34">
        <f>D26/11/7775.3</f>
        <v>1.6623035884029027</v>
      </c>
    </row>
    <row r="28" spans="1:4" s="7" customFormat="1" ht="14.25" customHeight="1">
      <c r="A28" s="4"/>
      <c r="B28" s="5" t="s">
        <v>25</v>
      </c>
      <c r="C28" s="5"/>
      <c r="D28" s="4" t="s">
        <v>64</v>
      </c>
    </row>
    <row r="29" spans="1:4" s="7" customFormat="1" ht="26.25" customHeight="1">
      <c r="A29" s="4">
        <v>22</v>
      </c>
      <c r="B29" s="5" t="s">
        <v>66</v>
      </c>
      <c r="C29" s="5" t="s">
        <v>9</v>
      </c>
      <c r="D29" s="8">
        <v>180869</v>
      </c>
    </row>
    <row r="30" spans="1:4" s="7" customFormat="1" ht="14.25" customHeight="1">
      <c r="A30" s="4"/>
      <c r="B30" s="10" t="s">
        <v>67</v>
      </c>
      <c r="C30" s="5" t="s">
        <v>65</v>
      </c>
      <c r="D30" s="13">
        <v>3.5</v>
      </c>
    </row>
    <row r="31" spans="1:4" s="7" customFormat="1" ht="14.25" customHeight="1">
      <c r="A31" s="12"/>
      <c r="B31" s="5" t="s">
        <v>25</v>
      </c>
      <c r="C31" s="5"/>
      <c r="D31" s="4" t="s">
        <v>68</v>
      </c>
    </row>
    <row r="32" spans="1:4" s="7" customFormat="1" ht="26.25" customHeight="1">
      <c r="A32" s="4">
        <v>23</v>
      </c>
      <c r="B32" s="5" t="s">
        <v>69</v>
      </c>
      <c r="C32" s="5" t="s">
        <v>9</v>
      </c>
      <c r="D32" s="8">
        <v>25198</v>
      </c>
    </row>
    <row r="33" spans="1:4" s="7" customFormat="1" ht="14.25" customHeight="1">
      <c r="A33" s="4"/>
      <c r="B33" s="10" t="s">
        <v>70</v>
      </c>
      <c r="C33" s="5" t="s">
        <v>65</v>
      </c>
      <c r="D33" s="13">
        <v>0.14</v>
      </c>
    </row>
    <row r="34" spans="1:4" s="7" customFormat="1" ht="14.25" customHeight="1">
      <c r="A34" s="12"/>
      <c r="B34" s="5" t="s">
        <v>25</v>
      </c>
      <c r="C34" s="5"/>
      <c r="D34" s="4" t="s">
        <v>71</v>
      </c>
    </row>
    <row r="35" spans="1:4" s="7" customFormat="1" ht="43.5" customHeight="1">
      <c r="A35" s="4">
        <v>24</v>
      </c>
      <c r="B35" s="5" t="s">
        <v>90</v>
      </c>
      <c r="C35" s="5" t="s">
        <v>9</v>
      </c>
      <c r="D35" s="8">
        <f>267392+801</f>
        <v>268193</v>
      </c>
    </row>
    <row r="36" spans="1:4" s="7" customFormat="1" ht="14.25" customHeight="1">
      <c r="A36" s="4"/>
      <c r="B36" s="10" t="s">
        <v>72</v>
      </c>
      <c r="C36" s="5" t="s">
        <v>65</v>
      </c>
      <c r="D36" s="11">
        <f>267392/11/7775.3</f>
        <v>3.1263570069789766</v>
      </c>
    </row>
    <row r="37" spans="1:4" s="7" customFormat="1" ht="14.25" customHeight="1">
      <c r="A37" s="12"/>
      <c r="B37" s="5" t="s">
        <v>25</v>
      </c>
      <c r="C37" s="5"/>
      <c r="D37" s="4" t="s">
        <v>73</v>
      </c>
    </row>
    <row r="38" spans="1:4" s="7" customFormat="1" ht="14.25" customHeight="1">
      <c r="A38" s="4"/>
      <c r="B38" s="10" t="s">
        <v>74</v>
      </c>
      <c r="C38" s="5" t="s">
        <v>65</v>
      </c>
      <c r="D38" s="11">
        <f>801/11/7775.3</f>
        <v>0.009365321186086944</v>
      </c>
    </row>
    <row r="39" spans="1:4" s="7" customFormat="1" ht="14.25" customHeight="1">
      <c r="A39" s="12"/>
      <c r="B39" s="5" t="s">
        <v>25</v>
      </c>
      <c r="C39" s="5"/>
      <c r="D39" s="4" t="s">
        <v>73</v>
      </c>
    </row>
    <row r="40" spans="1:4" s="7" customFormat="1" ht="40.5" customHeight="1">
      <c r="A40" s="4">
        <v>25</v>
      </c>
      <c r="B40" s="5" t="s">
        <v>75</v>
      </c>
      <c r="C40" s="5" t="s">
        <v>9</v>
      </c>
      <c r="D40" s="8">
        <f>103780+11247</f>
        <v>115027</v>
      </c>
    </row>
    <row r="41" spans="1:4" s="7" customFormat="1" ht="14.25" customHeight="1">
      <c r="A41" s="4"/>
      <c r="B41" s="10" t="s">
        <v>76</v>
      </c>
      <c r="C41" s="5" t="s">
        <v>65</v>
      </c>
      <c r="D41" s="11">
        <f>11247/11/7775.3</f>
        <v>0.13150033380764029</v>
      </c>
    </row>
    <row r="42" spans="1:4" s="7" customFormat="1" ht="14.25" customHeight="1">
      <c r="A42" s="12"/>
      <c r="B42" s="5" t="s">
        <v>25</v>
      </c>
      <c r="C42" s="5"/>
      <c r="D42" s="4" t="s">
        <v>73</v>
      </c>
    </row>
    <row r="43" spans="1:4" s="7" customFormat="1" ht="27" customHeight="1">
      <c r="A43" s="4"/>
      <c r="B43" s="10" t="s">
        <v>92</v>
      </c>
      <c r="C43" s="5" t="s">
        <v>65</v>
      </c>
      <c r="D43" s="11">
        <f>103780/11/7775.3</f>
        <v>1.213399541438331</v>
      </c>
    </row>
    <row r="44" spans="1:4" s="7" customFormat="1" ht="14.25" customHeight="1">
      <c r="A44" s="12"/>
      <c r="B44" s="5" t="s">
        <v>25</v>
      </c>
      <c r="C44" s="5"/>
      <c r="D44" s="4" t="s">
        <v>73</v>
      </c>
    </row>
    <row r="45" spans="1:4" s="7" customFormat="1" ht="54" customHeight="1">
      <c r="A45" s="4">
        <v>26</v>
      </c>
      <c r="B45" s="5" t="s">
        <v>77</v>
      </c>
      <c r="C45" s="5" t="s">
        <v>9</v>
      </c>
      <c r="D45" s="8">
        <v>188048</v>
      </c>
    </row>
    <row r="46" spans="1:4" s="7" customFormat="1" ht="14.25" customHeight="1">
      <c r="A46" s="4"/>
      <c r="B46" s="10" t="s">
        <v>78</v>
      </c>
      <c r="C46" s="5" t="s">
        <v>65</v>
      </c>
      <c r="D46" s="11">
        <f>D45/11/7775.3</f>
        <v>2.198664067916701</v>
      </c>
    </row>
    <row r="47" spans="1:4" s="7" customFormat="1" ht="14.25" customHeight="1">
      <c r="A47" s="12"/>
      <c r="B47" s="5" t="s">
        <v>25</v>
      </c>
      <c r="C47" s="5"/>
      <c r="D47" s="4" t="s">
        <v>68</v>
      </c>
    </row>
    <row r="48" spans="1:4" s="7" customFormat="1" ht="16.5" customHeight="1">
      <c r="A48" s="4">
        <v>27</v>
      </c>
      <c r="B48" s="5" t="s">
        <v>79</v>
      </c>
      <c r="C48" s="5" t="s">
        <v>9</v>
      </c>
      <c r="D48" s="8">
        <v>92820</v>
      </c>
    </row>
    <row r="49" spans="1:4" s="7" customFormat="1" ht="14.25" customHeight="1">
      <c r="A49" s="4"/>
      <c r="B49" s="10" t="s">
        <v>80</v>
      </c>
      <c r="C49" s="5" t="s">
        <v>65</v>
      </c>
      <c r="D49" s="11">
        <f>D48/11/7775.3</f>
        <v>1.0852548220881275</v>
      </c>
    </row>
    <row r="50" spans="1:4" s="7" customFormat="1" ht="14.25" customHeight="1">
      <c r="A50" s="12"/>
      <c r="B50" s="5" t="s">
        <v>25</v>
      </c>
      <c r="C50" s="5"/>
      <c r="D50" s="4" t="s">
        <v>81</v>
      </c>
    </row>
    <row r="51" spans="1:4" s="7" customFormat="1" ht="29.25" customHeight="1">
      <c r="A51" s="4">
        <v>28</v>
      </c>
      <c r="B51" s="5" t="s">
        <v>82</v>
      </c>
      <c r="C51" s="5" t="s">
        <v>9</v>
      </c>
      <c r="D51" s="8">
        <v>234204</v>
      </c>
    </row>
    <row r="52" spans="1:4" s="7" customFormat="1" ht="14.25" customHeight="1">
      <c r="A52" s="4"/>
      <c r="B52" s="10" t="s">
        <v>83</v>
      </c>
      <c r="C52" s="5" t="s">
        <v>65</v>
      </c>
      <c r="D52" s="11">
        <f>D51/11/7775.3</f>
        <v>2.7383217017057513</v>
      </c>
    </row>
    <row r="53" spans="1:4" s="7" customFormat="1" ht="14.25" customHeight="1">
      <c r="A53" s="12"/>
      <c r="B53" s="5" t="s">
        <v>25</v>
      </c>
      <c r="C53" s="5"/>
      <c r="D53" s="4" t="s">
        <v>68</v>
      </c>
    </row>
    <row r="54" spans="1:4" s="7" customFormat="1" ht="29.25" customHeight="1">
      <c r="A54" s="4">
        <v>29</v>
      </c>
      <c r="B54" s="5" t="s">
        <v>84</v>
      </c>
      <c r="C54" s="5" t="s">
        <v>9</v>
      </c>
      <c r="D54" s="8">
        <v>412074</v>
      </c>
    </row>
    <row r="55" spans="1:4" s="7" customFormat="1" ht="14.25" customHeight="1">
      <c r="A55" s="4"/>
      <c r="B55" s="10" t="s">
        <v>85</v>
      </c>
      <c r="C55" s="5" t="s">
        <v>65</v>
      </c>
      <c r="D55" s="11">
        <f>D54/11/7775.3</f>
        <v>4.817984222766031</v>
      </c>
    </row>
    <row r="56" spans="1:4" s="7" customFormat="1" ht="14.25" customHeight="1">
      <c r="A56" s="12"/>
      <c r="B56" s="5" t="s">
        <v>25</v>
      </c>
      <c r="C56" s="5"/>
      <c r="D56" s="4" t="s">
        <v>73</v>
      </c>
    </row>
    <row r="57" spans="1:4" s="7" customFormat="1" ht="29.25" customHeight="1">
      <c r="A57" s="4">
        <v>30</v>
      </c>
      <c r="B57" s="5" t="s">
        <v>86</v>
      </c>
      <c r="C57" s="5" t="s">
        <v>9</v>
      </c>
      <c r="D57" s="8">
        <v>22044</v>
      </c>
    </row>
    <row r="58" spans="1:4" s="7" customFormat="1" ht="14.25" customHeight="1">
      <c r="A58" s="4"/>
      <c r="B58" s="10" t="s">
        <v>87</v>
      </c>
      <c r="C58" s="5" t="s">
        <v>65</v>
      </c>
      <c r="D58" s="11">
        <f>D57/11/7775.3</f>
        <v>0.25773925121860247</v>
      </c>
    </row>
    <row r="59" spans="1:4" s="7" customFormat="1" ht="29.25" customHeight="1">
      <c r="A59" s="12"/>
      <c r="B59" s="5" t="s">
        <v>25</v>
      </c>
      <c r="C59" s="5"/>
      <c r="D59" s="4" t="s">
        <v>88</v>
      </c>
    </row>
    <row r="60" spans="1:4" s="7" customFormat="1" ht="16.5" customHeight="1">
      <c r="A60" s="36" t="s">
        <v>26</v>
      </c>
      <c r="B60" s="37"/>
      <c r="C60" s="37"/>
      <c r="D60" s="38"/>
    </row>
    <row r="61" spans="1:4" s="7" customFormat="1" ht="14.25" customHeight="1">
      <c r="A61" s="4">
        <v>31</v>
      </c>
      <c r="B61" s="5" t="s">
        <v>27</v>
      </c>
      <c r="C61" s="5" t="s">
        <v>28</v>
      </c>
      <c r="D61" s="4">
        <v>0</v>
      </c>
    </row>
    <row r="62" spans="1:4" s="7" customFormat="1" ht="14.25" customHeight="1">
      <c r="A62" s="4">
        <v>32</v>
      </c>
      <c r="B62" s="5" t="s">
        <v>29</v>
      </c>
      <c r="C62" s="5" t="s">
        <v>30</v>
      </c>
      <c r="D62" s="4">
        <v>0</v>
      </c>
    </row>
    <row r="63" spans="1:4" s="7" customFormat="1" ht="14.25" customHeight="1">
      <c r="A63" s="4">
        <v>33</v>
      </c>
      <c r="B63" s="5" t="s">
        <v>31</v>
      </c>
      <c r="C63" s="5" t="s">
        <v>28</v>
      </c>
      <c r="D63" s="4">
        <v>0</v>
      </c>
    </row>
    <row r="64" spans="1:4" s="7" customFormat="1" ht="14.25" customHeight="1">
      <c r="A64" s="4">
        <v>34</v>
      </c>
      <c r="B64" s="5" t="s">
        <v>32</v>
      </c>
      <c r="C64" s="5" t="s">
        <v>9</v>
      </c>
      <c r="D64" s="4">
        <v>0</v>
      </c>
    </row>
    <row r="65" spans="1:4" s="7" customFormat="1" ht="17.25" customHeight="1">
      <c r="A65" s="36" t="s">
        <v>33</v>
      </c>
      <c r="B65" s="37"/>
      <c r="C65" s="37"/>
      <c r="D65" s="38"/>
    </row>
    <row r="66" spans="1:4" s="7" customFormat="1" ht="25.5">
      <c r="A66" s="4">
        <v>35</v>
      </c>
      <c r="B66" s="5" t="s">
        <v>34</v>
      </c>
      <c r="C66" s="5" t="s">
        <v>9</v>
      </c>
      <c r="D66" s="4">
        <f>D67+D68</f>
        <v>0</v>
      </c>
    </row>
    <row r="67" spans="1:4" s="7" customFormat="1" ht="15" customHeight="1">
      <c r="A67" s="4">
        <v>36</v>
      </c>
      <c r="B67" s="5" t="s">
        <v>10</v>
      </c>
      <c r="C67" s="5" t="s">
        <v>9</v>
      </c>
      <c r="D67" s="8">
        <v>0</v>
      </c>
    </row>
    <row r="68" spans="1:4" s="7" customFormat="1" ht="15" customHeight="1">
      <c r="A68" s="4">
        <v>37</v>
      </c>
      <c r="B68" s="5" t="s">
        <v>11</v>
      </c>
      <c r="C68" s="5" t="s">
        <v>9</v>
      </c>
      <c r="D68" s="8">
        <v>0</v>
      </c>
    </row>
    <row r="69" spans="1:4" s="7" customFormat="1" ht="25.5">
      <c r="A69" s="4">
        <v>38</v>
      </c>
      <c r="B69" s="5" t="s">
        <v>35</v>
      </c>
      <c r="C69" s="5" t="s">
        <v>9</v>
      </c>
      <c r="D69" s="8">
        <f>D71-D70</f>
        <v>338686.57</v>
      </c>
    </row>
    <row r="70" spans="1:4" s="7" customFormat="1" ht="13.5" customHeight="1">
      <c r="A70" s="4">
        <v>39</v>
      </c>
      <c r="B70" s="5" t="s">
        <v>10</v>
      </c>
      <c r="C70" s="5" t="s">
        <v>9</v>
      </c>
      <c r="D70" s="8">
        <f>404.74+3.64+2.47+625.37+35.18</f>
        <v>1071.4</v>
      </c>
    </row>
    <row r="71" spans="1:4" s="7" customFormat="1" ht="13.5" customHeight="1">
      <c r="A71" s="4">
        <v>40</v>
      </c>
      <c r="B71" s="5" t="s">
        <v>11</v>
      </c>
      <c r="C71" s="5" t="s">
        <v>9</v>
      </c>
      <c r="D71" s="8">
        <f>262917.58+13481.59+10298.93+11212.43+41847.44</f>
        <v>339757.97000000003</v>
      </c>
    </row>
    <row r="72" spans="1:4" s="7" customFormat="1" ht="18" customHeight="1">
      <c r="A72" s="36" t="s">
        <v>52</v>
      </c>
      <c r="B72" s="37"/>
      <c r="C72" s="37"/>
      <c r="D72" s="38"/>
    </row>
    <row r="73" spans="1:4" s="7" customFormat="1" ht="20.25" customHeight="1">
      <c r="A73" s="4">
        <v>41</v>
      </c>
      <c r="B73" s="5" t="s">
        <v>36</v>
      </c>
      <c r="C73" s="5"/>
      <c r="D73" s="15" t="s">
        <v>53</v>
      </c>
    </row>
    <row r="74" spans="1:4" s="7" customFormat="1" ht="12.75">
      <c r="A74" s="4">
        <v>42</v>
      </c>
      <c r="B74" s="5" t="s">
        <v>37</v>
      </c>
      <c r="C74" s="5"/>
      <c r="D74" s="4" t="s">
        <v>59</v>
      </c>
    </row>
    <row r="75" spans="1:4" s="7" customFormat="1" ht="12.75">
      <c r="A75" s="4">
        <v>43</v>
      </c>
      <c r="B75" s="5" t="s">
        <v>38</v>
      </c>
      <c r="C75" s="5" t="s">
        <v>39</v>
      </c>
      <c r="D75" s="4">
        <f>(3.99+5.64+5.8+3.32+4.3+4.78+5.4+9.12+13.92+11.26)*1000</f>
        <v>67530</v>
      </c>
    </row>
    <row r="76" spans="1:4" s="7" customFormat="1" ht="12.75">
      <c r="A76" s="4">
        <v>44</v>
      </c>
      <c r="B76" s="5" t="s">
        <v>40</v>
      </c>
      <c r="C76" s="5" t="s">
        <v>9</v>
      </c>
      <c r="D76" s="8">
        <v>146112.29</v>
      </c>
    </row>
    <row r="77" spans="1:4" s="7" customFormat="1" ht="12.75">
      <c r="A77" s="4">
        <v>45</v>
      </c>
      <c r="B77" s="5" t="s">
        <v>41</v>
      </c>
      <c r="C77" s="5" t="s">
        <v>9</v>
      </c>
      <c r="D77" s="8">
        <v>104300.03</v>
      </c>
    </row>
    <row r="78" spans="1:4" s="7" customFormat="1" ht="12.75">
      <c r="A78" s="4">
        <v>46</v>
      </c>
      <c r="B78" s="5" t="s">
        <v>42</v>
      </c>
      <c r="C78" s="5" t="s">
        <v>9</v>
      </c>
      <c r="D78" s="8">
        <f>D76-D77</f>
        <v>41812.26000000001</v>
      </c>
    </row>
    <row r="79" spans="1:4" s="18" customFormat="1" ht="12.75">
      <c r="A79" s="4">
        <v>47</v>
      </c>
      <c r="B79" s="16" t="s">
        <v>43</v>
      </c>
      <c r="C79" s="16" t="s">
        <v>9</v>
      </c>
      <c r="D79" s="17">
        <f>142338.9+3247.98+22983.32</f>
        <v>168570.2</v>
      </c>
    </row>
    <row r="80" spans="1:4" s="18" customFormat="1" ht="12.75">
      <c r="A80" s="4">
        <v>48</v>
      </c>
      <c r="B80" s="16" t="s">
        <v>44</v>
      </c>
      <c r="C80" s="16" t="s">
        <v>9</v>
      </c>
      <c r="D80" s="17">
        <v>169860</v>
      </c>
    </row>
    <row r="81" spans="1:4" s="18" customFormat="1" ht="12.75">
      <c r="A81" s="4">
        <v>49</v>
      </c>
      <c r="B81" s="16" t="s">
        <v>45</v>
      </c>
      <c r="C81" s="16" t="s">
        <v>9</v>
      </c>
      <c r="D81" s="17">
        <f>D80-D79</f>
        <v>1289.7999999999884</v>
      </c>
    </row>
    <row r="82" spans="1:4" s="18" customFormat="1" ht="25.5">
      <c r="A82" s="4">
        <v>50</v>
      </c>
      <c r="B82" s="16" t="s">
        <v>46</v>
      </c>
      <c r="C82" s="16" t="s">
        <v>9</v>
      </c>
      <c r="D82" s="19">
        <v>0</v>
      </c>
    </row>
    <row r="83" spans="1:4" s="7" customFormat="1" ht="24">
      <c r="A83" s="4">
        <v>51</v>
      </c>
      <c r="B83" s="5" t="s">
        <v>36</v>
      </c>
      <c r="C83" s="5"/>
      <c r="D83" s="15" t="s">
        <v>54</v>
      </c>
    </row>
    <row r="84" spans="1:4" s="7" customFormat="1" ht="12.75">
      <c r="A84" s="4">
        <v>52</v>
      </c>
      <c r="B84" s="5" t="s">
        <v>37</v>
      </c>
      <c r="C84" s="5"/>
      <c r="D84" s="4" t="s">
        <v>60</v>
      </c>
    </row>
    <row r="85" spans="1:4" s="7" customFormat="1" ht="12.75">
      <c r="A85" s="4">
        <v>53</v>
      </c>
      <c r="B85" s="5" t="s">
        <v>38</v>
      </c>
      <c r="C85" s="5" t="s">
        <v>39</v>
      </c>
      <c r="D85" s="4">
        <f>19.929+33.071+22.736+23.264+30.031+55.969+24.332+238.668+6.91+304.09+82.183+288.817+48.899+393.101+98.594+575.406+111.849+735.151+90.485+784.515</f>
        <v>3968</v>
      </c>
    </row>
    <row r="86" spans="1:4" s="7" customFormat="1" ht="12.75">
      <c r="A86" s="4">
        <v>54</v>
      </c>
      <c r="B86" s="5" t="s">
        <v>40</v>
      </c>
      <c r="C86" s="5" t="s">
        <v>9</v>
      </c>
      <c r="D86" s="8">
        <v>48030.05</v>
      </c>
    </row>
    <row r="87" spans="1:4" s="7" customFormat="1" ht="12.75">
      <c r="A87" s="4">
        <v>55</v>
      </c>
      <c r="B87" s="5" t="s">
        <v>41</v>
      </c>
      <c r="C87" s="5" t="s">
        <v>9</v>
      </c>
      <c r="D87" s="8">
        <v>34552.1</v>
      </c>
    </row>
    <row r="88" spans="1:4" s="7" customFormat="1" ht="12.75">
      <c r="A88" s="4">
        <v>56</v>
      </c>
      <c r="B88" s="5" t="s">
        <v>42</v>
      </c>
      <c r="C88" s="5" t="s">
        <v>9</v>
      </c>
      <c r="D88" s="8">
        <f>D86-D87</f>
        <v>13477.950000000004</v>
      </c>
    </row>
    <row r="89" spans="1:4" s="18" customFormat="1" ht="12.75">
      <c r="A89" s="4">
        <v>57</v>
      </c>
      <c r="B89" s="16" t="s">
        <v>43</v>
      </c>
      <c r="C89" s="16" t="s">
        <v>9</v>
      </c>
      <c r="D89" s="17">
        <f>90875.69</f>
        <v>90875.69</v>
      </c>
    </row>
    <row r="90" spans="1:4" s="18" customFormat="1" ht="12.75">
      <c r="A90" s="4">
        <v>58</v>
      </c>
      <c r="B90" s="16" t="s">
        <v>44</v>
      </c>
      <c r="C90" s="16" t="s">
        <v>9</v>
      </c>
      <c r="D90" s="17">
        <v>93339</v>
      </c>
    </row>
    <row r="91" spans="1:4" s="18" customFormat="1" ht="12.75">
      <c r="A91" s="4">
        <v>59</v>
      </c>
      <c r="B91" s="16" t="s">
        <v>45</v>
      </c>
      <c r="C91" s="16" t="s">
        <v>9</v>
      </c>
      <c r="D91" s="17">
        <f>D90-D89</f>
        <v>2463.3099999999977</v>
      </c>
    </row>
    <row r="92" spans="1:4" s="18" customFormat="1" ht="25.5">
      <c r="A92" s="4">
        <v>60</v>
      </c>
      <c r="B92" s="16" t="s">
        <v>46</v>
      </c>
      <c r="C92" s="16" t="s">
        <v>9</v>
      </c>
      <c r="D92" s="19">
        <v>0</v>
      </c>
    </row>
    <row r="93" spans="1:4" s="7" customFormat="1" ht="25.5">
      <c r="A93" s="4">
        <v>61</v>
      </c>
      <c r="B93" s="5" t="s">
        <v>36</v>
      </c>
      <c r="C93" s="5"/>
      <c r="D93" s="20" t="s">
        <v>55</v>
      </c>
    </row>
    <row r="94" spans="1:4" s="7" customFormat="1" ht="12.75">
      <c r="A94" s="4">
        <v>62</v>
      </c>
      <c r="B94" s="5" t="s">
        <v>37</v>
      </c>
      <c r="C94" s="5"/>
      <c r="D94" s="4" t="s">
        <v>60</v>
      </c>
    </row>
    <row r="95" spans="1:4" s="7" customFormat="1" ht="12.75">
      <c r="A95" s="4">
        <v>63</v>
      </c>
      <c r="B95" s="5" t="s">
        <v>38</v>
      </c>
      <c r="C95" s="5" t="s">
        <v>39</v>
      </c>
      <c r="D95" s="4">
        <v>441</v>
      </c>
    </row>
    <row r="96" spans="1:4" s="7" customFormat="1" ht="12.75">
      <c r="A96" s="4">
        <v>64</v>
      </c>
      <c r="B96" s="5" t="s">
        <v>40</v>
      </c>
      <c r="C96" s="5" t="s">
        <v>9</v>
      </c>
      <c r="D96" s="8">
        <v>35636.48</v>
      </c>
    </row>
    <row r="97" spans="1:4" s="7" customFormat="1" ht="12.75">
      <c r="A97" s="4">
        <v>65</v>
      </c>
      <c r="B97" s="5" t="s">
        <v>41</v>
      </c>
      <c r="C97" s="5" t="s">
        <v>9</v>
      </c>
      <c r="D97" s="8">
        <v>25049.42</v>
      </c>
    </row>
    <row r="98" spans="1:4" s="7" customFormat="1" ht="12.75">
      <c r="A98" s="4">
        <v>66</v>
      </c>
      <c r="B98" s="5" t="s">
        <v>42</v>
      </c>
      <c r="C98" s="5" t="s">
        <v>9</v>
      </c>
      <c r="D98" s="8">
        <f>D96-D97</f>
        <v>10587.060000000005</v>
      </c>
    </row>
    <row r="99" spans="1:4" s="18" customFormat="1" ht="12.75">
      <c r="A99" s="4">
        <v>67</v>
      </c>
      <c r="B99" s="16" t="s">
        <v>43</v>
      </c>
      <c r="C99" s="16" t="s">
        <v>9</v>
      </c>
      <c r="D99" s="17">
        <f>570109.7+10008.96</f>
        <v>580118.6599999999</v>
      </c>
    </row>
    <row r="100" spans="1:4" s="18" customFormat="1" ht="12.75">
      <c r="A100" s="4">
        <v>68</v>
      </c>
      <c r="B100" s="16" t="s">
        <v>44</v>
      </c>
      <c r="C100" s="16" t="s">
        <v>9</v>
      </c>
      <c r="D100" s="17">
        <v>551868</v>
      </c>
    </row>
    <row r="101" spans="1:4" s="18" customFormat="1" ht="12.75">
      <c r="A101" s="4">
        <v>69</v>
      </c>
      <c r="B101" s="16" t="s">
        <v>45</v>
      </c>
      <c r="C101" s="16" t="s">
        <v>9</v>
      </c>
      <c r="D101" s="17">
        <f>D100-D99</f>
        <v>-28250.659999999916</v>
      </c>
    </row>
    <row r="102" spans="1:4" s="18" customFormat="1" ht="25.5">
      <c r="A102" s="4">
        <v>70</v>
      </c>
      <c r="B102" s="16" t="s">
        <v>46</v>
      </c>
      <c r="C102" s="16" t="s">
        <v>9</v>
      </c>
      <c r="D102" s="19">
        <v>0</v>
      </c>
    </row>
    <row r="103" spans="1:4" s="7" customFormat="1" ht="24">
      <c r="A103" s="4">
        <v>71</v>
      </c>
      <c r="B103" s="5" t="s">
        <v>36</v>
      </c>
      <c r="C103" s="5"/>
      <c r="D103" s="15" t="s">
        <v>58</v>
      </c>
    </row>
    <row r="104" spans="1:4" s="7" customFormat="1" ht="12.75">
      <c r="A104" s="4">
        <v>72</v>
      </c>
      <c r="B104" s="5" t="s">
        <v>37</v>
      </c>
      <c r="C104" s="5"/>
      <c r="D104" s="4" t="s">
        <v>61</v>
      </c>
    </row>
    <row r="105" spans="1:4" s="7" customFormat="1" ht="12.75">
      <c r="A105" s="4">
        <v>73</v>
      </c>
      <c r="B105" s="5" t="s">
        <v>38</v>
      </c>
      <c r="C105" s="5" t="s">
        <v>39</v>
      </c>
      <c r="D105" s="4">
        <v>643</v>
      </c>
    </row>
    <row r="106" spans="1:4" s="7" customFormat="1" ht="12.75">
      <c r="A106" s="4">
        <v>74</v>
      </c>
      <c r="B106" s="5" t="s">
        <v>40</v>
      </c>
      <c r="C106" s="5" t="s">
        <v>9</v>
      </c>
      <c r="D106" s="8">
        <v>1020655.02</v>
      </c>
    </row>
    <row r="107" spans="1:4" s="7" customFormat="1" ht="12.75">
      <c r="A107" s="4">
        <v>75</v>
      </c>
      <c r="B107" s="5" t="s">
        <v>41</v>
      </c>
      <c r="C107" s="5" t="s">
        <v>9</v>
      </c>
      <c r="D107" s="8">
        <v>758142.18</v>
      </c>
    </row>
    <row r="108" spans="1:4" s="7" customFormat="1" ht="12.75">
      <c r="A108" s="4">
        <v>76</v>
      </c>
      <c r="B108" s="5" t="s">
        <v>42</v>
      </c>
      <c r="C108" s="5" t="s">
        <v>9</v>
      </c>
      <c r="D108" s="8">
        <f>D106-D107</f>
        <v>262512.83999999997</v>
      </c>
    </row>
    <row r="109" spans="1:4" s="18" customFormat="1" ht="12.75">
      <c r="A109" s="4">
        <v>77</v>
      </c>
      <c r="B109" s="16" t="s">
        <v>43</v>
      </c>
      <c r="C109" s="16" t="s">
        <v>9</v>
      </c>
      <c r="D109" s="17">
        <f>714183.93+25605.61+67198.89+95710.98</f>
        <v>902699.41</v>
      </c>
    </row>
    <row r="110" spans="1:4" s="18" customFormat="1" ht="12.75">
      <c r="A110" s="4">
        <v>78</v>
      </c>
      <c r="B110" s="16" t="s">
        <v>44</v>
      </c>
      <c r="C110" s="16" t="s">
        <v>9</v>
      </c>
      <c r="D110" s="17">
        <v>858735</v>
      </c>
    </row>
    <row r="111" spans="1:4" s="18" customFormat="1" ht="12.75">
      <c r="A111" s="4">
        <v>79</v>
      </c>
      <c r="B111" s="16" t="s">
        <v>45</v>
      </c>
      <c r="C111" s="16" t="s">
        <v>9</v>
      </c>
      <c r="D111" s="17">
        <f>D110-D109</f>
        <v>-43964.41000000003</v>
      </c>
    </row>
    <row r="112" spans="1:4" s="18" customFormat="1" ht="25.5">
      <c r="A112" s="4">
        <v>80</v>
      </c>
      <c r="B112" s="16" t="s">
        <v>46</v>
      </c>
      <c r="C112" s="16" t="s">
        <v>9</v>
      </c>
      <c r="D112" s="19">
        <v>0</v>
      </c>
    </row>
    <row r="113" spans="1:4" s="7" customFormat="1" ht="12.75">
      <c r="A113" s="4">
        <v>81</v>
      </c>
      <c r="B113" s="5" t="s">
        <v>36</v>
      </c>
      <c r="C113" s="5"/>
      <c r="D113" s="20" t="s">
        <v>56</v>
      </c>
    </row>
    <row r="114" spans="1:4" s="7" customFormat="1" ht="12.75">
      <c r="A114" s="4">
        <v>82</v>
      </c>
      <c r="B114" s="5" t="s">
        <v>37</v>
      </c>
      <c r="C114" s="5"/>
      <c r="D114" s="4" t="s">
        <v>60</v>
      </c>
    </row>
    <row r="115" spans="1:4" s="7" customFormat="1" ht="12.75">
      <c r="A115" s="4">
        <v>83</v>
      </c>
      <c r="B115" s="5" t="s">
        <v>38</v>
      </c>
      <c r="C115" s="5" t="s">
        <v>39</v>
      </c>
      <c r="D115" s="33">
        <f>29.341+23.691+22.736+23.264+36.247+62.391+28.327+264.373+11.38+10.1+104.073+376.75+68.633+324.464+147.728+369.846+166.982+405.529+140.488+422.018</f>
        <v>3038.361</v>
      </c>
    </row>
    <row r="116" spans="1:4" s="7" customFormat="1" ht="12.75">
      <c r="A116" s="4">
        <v>84</v>
      </c>
      <c r="B116" s="5" t="s">
        <v>40</v>
      </c>
      <c r="C116" s="5" t="s">
        <v>9</v>
      </c>
      <c r="D116" s="8">
        <v>35521.01</v>
      </c>
    </row>
    <row r="117" spans="1:4" s="7" customFormat="1" ht="12.75">
      <c r="A117" s="4">
        <v>85</v>
      </c>
      <c r="B117" s="5" t="s">
        <v>41</v>
      </c>
      <c r="C117" s="5" t="s">
        <v>9</v>
      </c>
      <c r="D117" s="8">
        <v>25224.55</v>
      </c>
    </row>
    <row r="118" spans="1:4" s="7" customFormat="1" ht="12.75">
      <c r="A118" s="4">
        <v>86</v>
      </c>
      <c r="B118" s="5" t="s">
        <v>42</v>
      </c>
      <c r="C118" s="5" t="s">
        <v>9</v>
      </c>
      <c r="D118" s="8">
        <f>D116-D117</f>
        <v>10296.460000000003</v>
      </c>
    </row>
    <row r="119" spans="1:4" s="18" customFormat="1" ht="12.75">
      <c r="A119" s="4">
        <v>87</v>
      </c>
      <c r="B119" s="16" t="s">
        <v>43</v>
      </c>
      <c r="C119" s="16" t="s">
        <v>9</v>
      </c>
      <c r="D119" s="17">
        <f>37911.7</f>
        <v>37911.7</v>
      </c>
    </row>
    <row r="120" spans="1:4" s="18" customFormat="1" ht="12.75">
      <c r="A120" s="4">
        <v>88</v>
      </c>
      <c r="B120" s="16" t="s">
        <v>44</v>
      </c>
      <c r="C120" s="16" t="s">
        <v>9</v>
      </c>
      <c r="D120" s="17">
        <v>38708</v>
      </c>
    </row>
    <row r="121" spans="1:4" s="18" customFormat="1" ht="12.75">
      <c r="A121" s="4">
        <v>89</v>
      </c>
      <c r="B121" s="16" t="s">
        <v>45</v>
      </c>
      <c r="C121" s="16" t="s">
        <v>9</v>
      </c>
      <c r="D121" s="17">
        <f>D120-D119</f>
        <v>796.3000000000029</v>
      </c>
    </row>
    <row r="122" spans="1:4" s="18" customFormat="1" ht="25.5">
      <c r="A122" s="4">
        <v>90</v>
      </c>
      <c r="B122" s="16" t="s">
        <v>46</v>
      </c>
      <c r="C122" s="16" t="s">
        <v>9</v>
      </c>
      <c r="D122" s="19">
        <v>0</v>
      </c>
    </row>
    <row r="123" spans="1:4" s="18" customFormat="1" ht="16.5" customHeight="1">
      <c r="A123" s="36" t="s">
        <v>47</v>
      </c>
      <c r="B123" s="37"/>
      <c r="C123" s="37"/>
      <c r="D123" s="38"/>
    </row>
    <row r="124" spans="1:4" s="18" customFormat="1" ht="12.75">
      <c r="A124" s="4">
        <v>91</v>
      </c>
      <c r="B124" s="16" t="s">
        <v>27</v>
      </c>
      <c r="C124" s="16" t="s">
        <v>28</v>
      </c>
      <c r="D124" s="19">
        <v>0</v>
      </c>
    </row>
    <row r="125" spans="1:4" s="18" customFormat="1" ht="12.75">
      <c r="A125" s="4">
        <v>92</v>
      </c>
      <c r="B125" s="16" t="s">
        <v>29</v>
      </c>
      <c r="C125" s="16" t="s">
        <v>28</v>
      </c>
      <c r="D125" s="19">
        <v>0</v>
      </c>
    </row>
    <row r="126" spans="1:4" s="18" customFormat="1" ht="12.75">
      <c r="A126" s="4">
        <v>93</v>
      </c>
      <c r="B126" s="16" t="s">
        <v>31</v>
      </c>
      <c r="C126" s="16"/>
      <c r="D126" s="19">
        <v>0</v>
      </c>
    </row>
    <row r="127" spans="1:4" s="18" customFormat="1" ht="12.75">
      <c r="A127" s="4">
        <v>94</v>
      </c>
      <c r="B127" s="16" t="s">
        <v>32</v>
      </c>
      <c r="C127" s="16" t="s">
        <v>9</v>
      </c>
      <c r="D127" s="19">
        <v>0</v>
      </c>
    </row>
    <row r="128" spans="1:4" s="18" customFormat="1" ht="17.25" customHeight="1">
      <c r="A128" s="36" t="s">
        <v>48</v>
      </c>
      <c r="B128" s="37"/>
      <c r="C128" s="37"/>
      <c r="D128" s="38"/>
    </row>
    <row r="129" spans="1:4" s="18" customFormat="1" ht="12.75">
      <c r="A129" s="4">
        <v>95</v>
      </c>
      <c r="B129" s="16" t="s">
        <v>49</v>
      </c>
      <c r="C129" s="16" t="s">
        <v>28</v>
      </c>
      <c r="D129" s="19">
        <v>0</v>
      </c>
    </row>
    <row r="130" spans="1:4" s="18" customFormat="1" ht="12.75">
      <c r="A130" s="4">
        <v>96</v>
      </c>
      <c r="B130" s="16" t="s">
        <v>50</v>
      </c>
      <c r="C130" s="16" t="s">
        <v>28</v>
      </c>
      <c r="D130" s="19">
        <v>0</v>
      </c>
    </row>
    <row r="131" spans="1:4" s="18" customFormat="1" ht="25.5">
      <c r="A131" s="4">
        <v>97</v>
      </c>
      <c r="B131" s="16" t="s">
        <v>51</v>
      </c>
      <c r="C131" s="16" t="s">
        <v>9</v>
      </c>
      <c r="D131" s="19">
        <v>0</v>
      </c>
    </row>
    <row r="132" spans="1:4" s="18" customFormat="1" ht="12.75">
      <c r="A132" s="21"/>
      <c r="B132" s="22"/>
      <c r="C132" s="22"/>
      <c r="D132" s="22"/>
    </row>
    <row r="133" spans="1:4" ht="15">
      <c r="A133" s="23"/>
      <c r="B133" s="24"/>
      <c r="C133" s="24"/>
      <c r="D133" s="24"/>
    </row>
    <row r="134" spans="1:4" ht="15">
      <c r="A134" s="23"/>
      <c r="B134" s="24"/>
      <c r="C134" s="24"/>
      <c r="D134" s="24"/>
    </row>
    <row r="135" spans="1:4" ht="15">
      <c r="A135" s="23"/>
      <c r="B135" s="24"/>
      <c r="C135" s="24"/>
      <c r="D135" s="24"/>
    </row>
    <row r="136" spans="1:4" ht="15">
      <c r="A136" s="23"/>
      <c r="B136" s="24"/>
      <c r="C136" s="24"/>
      <c r="D136" s="24"/>
    </row>
    <row r="137" spans="1:4" ht="15">
      <c r="A137" s="23"/>
      <c r="B137" s="24"/>
      <c r="C137" s="24"/>
      <c r="D137" s="24"/>
    </row>
    <row r="138" spans="1:4" ht="15">
      <c r="A138" s="23"/>
      <c r="B138" s="24"/>
      <c r="C138" s="24"/>
      <c r="D138" s="24"/>
    </row>
    <row r="139" spans="1:4" ht="15">
      <c r="A139" s="23"/>
      <c r="B139" s="24"/>
      <c r="C139" s="24"/>
      <c r="D139" s="24"/>
    </row>
    <row r="140" spans="1:4" ht="15">
      <c r="A140" s="23"/>
      <c r="B140" s="24"/>
      <c r="C140" s="24"/>
      <c r="D140" s="24"/>
    </row>
    <row r="141" spans="1:4" ht="15">
      <c r="A141" s="23"/>
      <c r="B141" s="24"/>
      <c r="C141" s="24"/>
      <c r="D141" s="24"/>
    </row>
    <row r="142" spans="1:4" ht="15">
      <c r="A142" s="23"/>
      <c r="B142" s="24"/>
      <c r="C142" s="24"/>
      <c r="D142" s="24"/>
    </row>
    <row r="143" spans="1:4" ht="15">
      <c r="A143" s="23"/>
      <c r="B143" s="24"/>
      <c r="C143" s="24"/>
      <c r="D143" s="24"/>
    </row>
    <row r="144" spans="1:4" ht="15">
      <c r="A144" s="23"/>
      <c r="B144" s="24"/>
      <c r="C144" s="24"/>
      <c r="D144" s="24"/>
    </row>
    <row r="145" spans="1:4" ht="15">
      <c r="A145" s="23"/>
      <c r="B145" s="24"/>
      <c r="C145" s="24"/>
      <c r="D145" s="24"/>
    </row>
    <row r="146" spans="1:4" ht="15">
      <c r="A146" s="23"/>
      <c r="B146" s="24"/>
      <c r="C146" s="24"/>
      <c r="D146" s="24"/>
    </row>
    <row r="147" spans="1:4" ht="15">
      <c r="A147" s="23"/>
      <c r="B147" s="24"/>
      <c r="C147" s="24"/>
      <c r="D147" s="24"/>
    </row>
    <row r="148" spans="1:4" ht="15">
      <c r="A148" s="23"/>
      <c r="B148" s="24"/>
      <c r="C148" s="24"/>
      <c r="D148" s="24"/>
    </row>
    <row r="149" spans="1:4" ht="15">
      <c r="A149" s="23"/>
      <c r="B149" s="24"/>
      <c r="C149" s="24"/>
      <c r="D149" s="24"/>
    </row>
    <row r="150" spans="1:4" ht="15">
      <c r="A150" s="23"/>
      <c r="B150" s="24"/>
      <c r="C150" s="24"/>
      <c r="D150" s="24"/>
    </row>
    <row r="151" spans="1:4" ht="15">
      <c r="A151" s="23"/>
      <c r="B151" s="24"/>
      <c r="C151" s="24"/>
      <c r="D151" s="24"/>
    </row>
    <row r="152" spans="1:4" ht="15">
      <c r="A152" s="23"/>
      <c r="B152" s="24"/>
      <c r="C152" s="24"/>
      <c r="D152" s="24"/>
    </row>
    <row r="153" spans="1:4" ht="15">
      <c r="A153" s="23"/>
      <c r="B153" s="24"/>
      <c r="C153" s="24"/>
      <c r="D153" s="24"/>
    </row>
    <row r="154" spans="1:4" ht="15">
      <c r="A154" s="23"/>
      <c r="B154" s="24"/>
      <c r="C154" s="24"/>
      <c r="D154" s="24"/>
    </row>
    <row r="155" spans="1:4" ht="15">
      <c r="A155" s="23"/>
      <c r="B155" s="24"/>
      <c r="C155" s="24"/>
      <c r="D155" s="24"/>
    </row>
    <row r="156" spans="1:4" ht="15">
      <c r="A156" s="23"/>
      <c r="B156" s="24"/>
      <c r="C156" s="24"/>
      <c r="D156" s="24"/>
    </row>
    <row r="157" spans="1:4" ht="15">
      <c r="A157" s="23"/>
      <c r="B157" s="24"/>
      <c r="C157" s="24"/>
      <c r="D157" s="24"/>
    </row>
    <row r="158" spans="1:4" ht="15">
      <c r="A158" s="23"/>
      <c r="B158" s="24"/>
      <c r="C158" s="24"/>
      <c r="D158" s="24"/>
    </row>
    <row r="159" spans="1:4" ht="15">
      <c r="A159" s="23"/>
      <c r="B159" s="24"/>
      <c r="C159" s="24"/>
      <c r="D159" s="24"/>
    </row>
  </sheetData>
  <sheetProtection/>
  <mergeCells count="8">
    <mergeCell ref="A123:D123"/>
    <mergeCell ref="A128:D128"/>
    <mergeCell ref="A1:D1"/>
    <mergeCell ref="A7:D7"/>
    <mergeCell ref="A25:D25"/>
    <mergeCell ref="A60:D60"/>
    <mergeCell ref="A65:D65"/>
    <mergeCell ref="A72:D72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B38" sqref="B38:B39"/>
    </sheetView>
  </sheetViews>
  <sheetFormatPr defaultColWidth="9.140625" defaultRowHeight="15"/>
  <cols>
    <col min="1" max="1" width="6.28125" style="25" customWidth="1"/>
    <col min="2" max="2" width="51.421875" style="1" customWidth="1"/>
    <col min="3" max="3" width="9.140625" style="1" customWidth="1"/>
    <col min="4" max="4" width="15.7109375" style="1" customWidth="1"/>
    <col min="5" max="16384" width="9.140625" style="1" customWidth="1"/>
  </cols>
  <sheetData>
    <row r="1" spans="1:4" ht="32.25" customHeight="1">
      <c r="A1" s="39" t="s">
        <v>104</v>
      </c>
      <c r="B1" s="39"/>
      <c r="C1" s="39"/>
      <c r="D1" s="39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2.75">
      <c r="A4" s="4">
        <v>1</v>
      </c>
      <c r="B4" s="5" t="s">
        <v>4</v>
      </c>
      <c r="C4" s="4" t="s">
        <v>57</v>
      </c>
      <c r="D4" s="6">
        <v>42825</v>
      </c>
    </row>
    <row r="5" spans="1:4" s="7" customFormat="1" ht="12.75">
      <c r="A5" s="4">
        <v>2</v>
      </c>
      <c r="B5" s="5" t="s">
        <v>5</v>
      </c>
      <c r="C5" s="4" t="s">
        <v>57</v>
      </c>
      <c r="D5" s="6">
        <v>42580</v>
      </c>
    </row>
    <row r="6" spans="1:4" s="7" customFormat="1" ht="12.75">
      <c r="A6" s="4">
        <v>3</v>
      </c>
      <c r="B6" s="5" t="s">
        <v>6</v>
      </c>
      <c r="C6" s="4" t="s">
        <v>57</v>
      </c>
      <c r="D6" s="6">
        <v>42735</v>
      </c>
    </row>
    <row r="7" spans="1:4" s="7" customFormat="1" ht="27.75" customHeight="1">
      <c r="A7" s="36" t="s">
        <v>7</v>
      </c>
      <c r="B7" s="37"/>
      <c r="C7" s="37"/>
      <c r="D7" s="38"/>
    </row>
    <row r="8" spans="1:4" s="7" customFormat="1" ht="12.75">
      <c r="A8" s="4">
        <v>4</v>
      </c>
      <c r="B8" s="5" t="s">
        <v>8</v>
      </c>
      <c r="C8" s="5" t="s">
        <v>9</v>
      </c>
      <c r="D8" s="4">
        <f>D10-D9</f>
        <v>0</v>
      </c>
    </row>
    <row r="9" spans="1:4" s="7" customFormat="1" ht="12.75">
      <c r="A9" s="4">
        <v>5</v>
      </c>
      <c r="B9" s="5" t="s">
        <v>10</v>
      </c>
      <c r="C9" s="5" t="s">
        <v>9</v>
      </c>
      <c r="D9" s="9">
        <v>0</v>
      </c>
    </row>
    <row r="10" spans="1:4" s="7" customFormat="1" ht="12.75">
      <c r="A10" s="4">
        <v>6</v>
      </c>
      <c r="B10" s="5" t="s">
        <v>11</v>
      </c>
      <c r="C10" s="5" t="s">
        <v>9</v>
      </c>
      <c r="D10" s="9">
        <v>0</v>
      </c>
    </row>
    <row r="11" spans="1:4" s="7" customFormat="1" ht="25.5">
      <c r="A11" s="4">
        <v>7</v>
      </c>
      <c r="B11" s="5" t="s">
        <v>12</v>
      </c>
      <c r="C11" s="5"/>
      <c r="D11" s="8">
        <f>1197092.48+16750+34259.76+221685.33+22951.56+530268</f>
        <v>2023007.1300000001</v>
      </c>
    </row>
    <row r="12" spans="1:4" s="7" customFormat="1" ht="12.75">
      <c r="A12" s="4">
        <v>8</v>
      </c>
      <c r="B12" s="5" t="s">
        <v>13</v>
      </c>
      <c r="C12" s="5" t="s">
        <v>9</v>
      </c>
      <c r="D12" s="8">
        <f>D11-D14</f>
        <v>1810844.1300000001</v>
      </c>
    </row>
    <row r="13" spans="1:4" s="7" customFormat="1" ht="12.75">
      <c r="A13" s="4">
        <v>9</v>
      </c>
      <c r="B13" s="5" t="s">
        <v>14</v>
      </c>
      <c r="C13" s="5" t="s">
        <v>9</v>
      </c>
      <c r="D13" s="8">
        <v>0</v>
      </c>
    </row>
    <row r="14" spans="1:4" s="7" customFormat="1" ht="12.75">
      <c r="A14" s="4">
        <v>10</v>
      </c>
      <c r="B14" s="5" t="s">
        <v>15</v>
      </c>
      <c r="C14" s="5" t="s">
        <v>9</v>
      </c>
      <c r="D14" s="8">
        <f>189163+23000</f>
        <v>212163</v>
      </c>
    </row>
    <row r="15" spans="1:4" s="7" customFormat="1" ht="12.75">
      <c r="A15" s="4">
        <v>11</v>
      </c>
      <c r="B15" s="5" t="s">
        <v>16</v>
      </c>
      <c r="C15" s="5" t="s">
        <v>9</v>
      </c>
      <c r="D15" s="8">
        <f>SUM(D16:D20)</f>
        <v>607639.15</v>
      </c>
    </row>
    <row r="16" spans="1:4" s="7" customFormat="1" ht="12.75">
      <c r="A16" s="4">
        <v>12</v>
      </c>
      <c r="B16" s="5" t="s">
        <v>17</v>
      </c>
      <c r="C16" s="5" t="s">
        <v>9</v>
      </c>
      <c r="D16" s="8">
        <f>488414.57+7889.14+12291.91+89672+9371.53</f>
        <v>607639.15</v>
      </c>
    </row>
    <row r="17" spans="1:4" s="7" customFormat="1" ht="12" customHeight="1">
      <c r="A17" s="4">
        <v>13</v>
      </c>
      <c r="B17" s="5" t="s">
        <v>18</v>
      </c>
      <c r="C17" s="5" t="s">
        <v>9</v>
      </c>
      <c r="D17" s="8">
        <v>0</v>
      </c>
    </row>
    <row r="18" spans="1:4" s="7" customFormat="1" ht="12.75">
      <c r="A18" s="4">
        <v>14</v>
      </c>
      <c r="B18" s="5" t="s">
        <v>19</v>
      </c>
      <c r="C18" s="5" t="s">
        <v>9</v>
      </c>
      <c r="D18" s="8">
        <v>0</v>
      </c>
    </row>
    <row r="19" spans="1:4" s="7" customFormat="1" ht="12.75">
      <c r="A19" s="4">
        <v>15</v>
      </c>
      <c r="B19" s="5" t="s">
        <v>20</v>
      </c>
      <c r="C19" s="5" t="s">
        <v>9</v>
      </c>
      <c r="D19" s="8">
        <v>0</v>
      </c>
    </row>
    <row r="20" spans="1:4" s="7" customFormat="1" ht="12.75">
      <c r="A20" s="4">
        <v>16</v>
      </c>
      <c r="B20" s="5" t="s">
        <v>21</v>
      </c>
      <c r="C20" s="5" t="s">
        <v>9</v>
      </c>
      <c r="D20" s="8">
        <v>0</v>
      </c>
    </row>
    <row r="21" spans="1:4" s="7" customFormat="1" ht="12.75">
      <c r="A21" s="4">
        <v>17</v>
      </c>
      <c r="B21" s="5" t="s">
        <v>22</v>
      </c>
      <c r="C21" s="5" t="s">
        <v>9</v>
      </c>
      <c r="D21" s="8">
        <f>D8+D15</f>
        <v>607639.15</v>
      </c>
    </row>
    <row r="22" spans="1:4" s="7" customFormat="1" ht="12.75">
      <c r="A22" s="4">
        <v>18</v>
      </c>
      <c r="B22" s="5" t="s">
        <v>23</v>
      </c>
      <c r="C22" s="5" t="s">
        <v>9</v>
      </c>
      <c r="D22" s="8">
        <f>D24-D23</f>
        <v>885099.98</v>
      </c>
    </row>
    <row r="23" spans="1:4" s="7" customFormat="1" ht="12.75">
      <c r="A23" s="4">
        <v>19</v>
      </c>
      <c r="B23" s="5" t="s">
        <v>10</v>
      </c>
      <c r="C23" s="5" t="s">
        <v>9</v>
      </c>
      <c r="D23" s="9">
        <f>456.96+15.04+14.99+87.44+8.75</f>
        <v>583.1800000000001</v>
      </c>
    </row>
    <row r="24" spans="1:4" s="7" customFormat="1" ht="12.75">
      <c r="A24" s="4">
        <v>20</v>
      </c>
      <c r="B24" s="5" t="s">
        <v>11</v>
      </c>
      <c r="C24" s="5" t="s">
        <v>9</v>
      </c>
      <c r="D24" s="9">
        <f>709134.87+8875.9+21982.84+132100.77+13588.78</f>
        <v>885683.16</v>
      </c>
    </row>
    <row r="25" spans="1:4" s="7" customFormat="1" ht="26.25" customHeight="1">
      <c r="A25" s="36" t="s">
        <v>24</v>
      </c>
      <c r="B25" s="37"/>
      <c r="C25" s="37"/>
      <c r="D25" s="38"/>
    </row>
    <row r="26" spans="1:4" s="7" customFormat="1" ht="31.5" customHeight="1">
      <c r="A26" s="4">
        <v>21</v>
      </c>
      <c r="B26" s="5" t="s">
        <v>62</v>
      </c>
      <c r="C26" s="5" t="s">
        <v>9</v>
      </c>
      <c r="D26" s="8">
        <v>157039</v>
      </c>
    </row>
    <row r="27" spans="1:4" s="7" customFormat="1" ht="19.5" customHeight="1">
      <c r="A27" s="4"/>
      <c r="B27" s="5" t="s">
        <v>63</v>
      </c>
      <c r="C27" s="5" t="s">
        <v>65</v>
      </c>
      <c r="D27" s="34">
        <f>D26/5/17792.5</f>
        <v>1.7652269214556695</v>
      </c>
    </row>
    <row r="28" spans="1:4" s="7" customFormat="1" ht="14.25" customHeight="1">
      <c r="A28" s="4"/>
      <c r="B28" s="5" t="s">
        <v>25</v>
      </c>
      <c r="C28" s="5"/>
      <c r="D28" s="4" t="s">
        <v>64</v>
      </c>
    </row>
    <row r="29" spans="1:4" s="7" customFormat="1" ht="26.25" customHeight="1">
      <c r="A29" s="4">
        <v>22</v>
      </c>
      <c r="B29" s="5" t="s">
        <v>66</v>
      </c>
      <c r="C29" s="5" t="s">
        <v>9</v>
      </c>
      <c r="D29" s="8">
        <v>284373</v>
      </c>
    </row>
    <row r="30" spans="1:4" s="7" customFormat="1" ht="14.25" customHeight="1">
      <c r="A30" s="4"/>
      <c r="B30" s="10" t="s">
        <v>67</v>
      </c>
      <c r="C30" s="5" t="s">
        <v>65</v>
      </c>
      <c r="D30" s="11">
        <v>3.5</v>
      </c>
    </row>
    <row r="31" spans="1:4" s="7" customFormat="1" ht="14.25" customHeight="1">
      <c r="A31" s="12"/>
      <c r="B31" s="5" t="s">
        <v>25</v>
      </c>
      <c r="C31" s="5"/>
      <c r="D31" s="4" t="s">
        <v>68</v>
      </c>
    </row>
    <row r="32" spans="1:4" s="7" customFormat="1" ht="26.25" customHeight="1">
      <c r="A32" s="4">
        <v>23</v>
      </c>
      <c r="B32" s="5" t="s">
        <v>69</v>
      </c>
      <c r="C32" s="5" t="s">
        <v>9</v>
      </c>
      <c r="D32" s="8">
        <f>12028</f>
        <v>12028</v>
      </c>
    </row>
    <row r="33" spans="1:4" s="7" customFormat="1" ht="14.25" customHeight="1">
      <c r="A33" s="4"/>
      <c r="B33" s="10" t="s">
        <v>70</v>
      </c>
      <c r="C33" s="5" t="s">
        <v>65</v>
      </c>
      <c r="D33" s="13">
        <v>0.14</v>
      </c>
    </row>
    <row r="34" spans="1:4" s="7" customFormat="1" ht="14.25" customHeight="1">
      <c r="A34" s="12"/>
      <c r="B34" s="5" t="s">
        <v>25</v>
      </c>
      <c r="C34" s="5"/>
      <c r="D34" s="4" t="s">
        <v>71</v>
      </c>
    </row>
    <row r="35" spans="1:4" s="7" customFormat="1" ht="43.5" customHeight="1">
      <c r="A35" s="4">
        <v>24</v>
      </c>
      <c r="B35" s="5" t="s">
        <v>90</v>
      </c>
      <c r="C35" s="5" t="s">
        <v>9</v>
      </c>
      <c r="D35" s="8">
        <f>409473+30821</f>
        <v>440294</v>
      </c>
    </row>
    <row r="36" spans="1:4" s="7" customFormat="1" ht="14.25" customHeight="1">
      <c r="A36" s="4"/>
      <c r="B36" s="10" t="s">
        <v>72</v>
      </c>
      <c r="C36" s="5" t="s">
        <v>65</v>
      </c>
      <c r="D36" s="11">
        <f>409473/5/17792.5</f>
        <v>4.6027595897147675</v>
      </c>
    </row>
    <row r="37" spans="1:4" s="7" customFormat="1" ht="14.25" customHeight="1">
      <c r="A37" s="12"/>
      <c r="B37" s="5" t="s">
        <v>25</v>
      </c>
      <c r="C37" s="5"/>
      <c r="D37" s="4" t="s">
        <v>73</v>
      </c>
    </row>
    <row r="38" spans="1:4" s="7" customFormat="1" ht="14.25" customHeight="1">
      <c r="A38" s="4"/>
      <c r="B38" s="10" t="s">
        <v>74</v>
      </c>
      <c r="C38" s="5" t="s">
        <v>65</v>
      </c>
      <c r="D38" s="11">
        <f>30821/5/17792.5</f>
        <v>0.346449346634818</v>
      </c>
    </row>
    <row r="39" spans="1:4" s="7" customFormat="1" ht="14.25" customHeight="1">
      <c r="A39" s="12"/>
      <c r="B39" s="5" t="s">
        <v>25</v>
      </c>
      <c r="C39" s="5"/>
      <c r="D39" s="4" t="s">
        <v>73</v>
      </c>
    </row>
    <row r="40" spans="1:4" s="7" customFormat="1" ht="40.5" customHeight="1">
      <c r="A40" s="4">
        <v>25</v>
      </c>
      <c r="B40" s="5" t="s">
        <v>75</v>
      </c>
      <c r="C40" s="5" t="s">
        <v>9</v>
      </c>
      <c r="D40" s="8">
        <f>114476+24158</f>
        <v>138634</v>
      </c>
    </row>
    <row r="41" spans="1:4" s="7" customFormat="1" ht="14.25" customHeight="1">
      <c r="A41" s="4"/>
      <c r="B41" s="10" t="s">
        <v>76</v>
      </c>
      <c r="C41" s="5" t="s">
        <v>65</v>
      </c>
      <c r="D41" s="11">
        <f>24158/5/17792.5</f>
        <v>0.2715526204861599</v>
      </c>
    </row>
    <row r="42" spans="1:4" s="7" customFormat="1" ht="14.25" customHeight="1">
      <c r="A42" s="12"/>
      <c r="B42" s="5" t="s">
        <v>25</v>
      </c>
      <c r="C42" s="5"/>
      <c r="D42" s="4" t="s">
        <v>73</v>
      </c>
    </row>
    <row r="43" spans="1:4" s="7" customFormat="1" ht="27" customHeight="1">
      <c r="A43" s="4"/>
      <c r="B43" s="10" t="s">
        <v>92</v>
      </c>
      <c r="C43" s="5" t="s">
        <v>65</v>
      </c>
      <c r="D43" s="11">
        <f>114476/5/17792.5</f>
        <v>1.2867893775467192</v>
      </c>
    </row>
    <row r="44" spans="1:4" s="7" customFormat="1" ht="14.25" customHeight="1">
      <c r="A44" s="12"/>
      <c r="B44" s="5" t="s">
        <v>25</v>
      </c>
      <c r="C44" s="5"/>
      <c r="D44" s="4" t="s">
        <v>73</v>
      </c>
    </row>
    <row r="45" spans="1:4" s="7" customFormat="1" ht="54" customHeight="1">
      <c r="A45" s="4">
        <v>26</v>
      </c>
      <c r="B45" s="5" t="s">
        <v>77</v>
      </c>
      <c r="C45" s="5" t="s">
        <v>9</v>
      </c>
      <c r="D45" s="8">
        <v>369922</v>
      </c>
    </row>
    <row r="46" spans="1:4" s="7" customFormat="1" ht="14.25" customHeight="1">
      <c r="A46" s="4"/>
      <c r="B46" s="10" t="s">
        <v>78</v>
      </c>
      <c r="C46" s="5" t="s">
        <v>65</v>
      </c>
      <c r="D46" s="11">
        <f>D45/5/17792.5</f>
        <v>4.158179008008992</v>
      </c>
    </row>
    <row r="47" spans="1:4" s="7" customFormat="1" ht="14.25" customHeight="1">
      <c r="A47" s="12"/>
      <c r="B47" s="5" t="s">
        <v>25</v>
      </c>
      <c r="C47" s="5"/>
      <c r="D47" s="4" t="s">
        <v>68</v>
      </c>
    </row>
    <row r="48" spans="1:4" s="7" customFormat="1" ht="16.5" customHeight="1">
      <c r="A48" s="4">
        <v>27</v>
      </c>
      <c r="B48" s="5" t="s">
        <v>79</v>
      </c>
      <c r="C48" s="5" t="s">
        <v>9</v>
      </c>
      <c r="D48" s="8">
        <f>564</f>
        <v>564</v>
      </c>
    </row>
    <row r="49" spans="1:4" s="7" customFormat="1" ht="14.25" customHeight="1">
      <c r="A49" s="4"/>
      <c r="B49" s="10" t="s">
        <v>80</v>
      </c>
      <c r="C49" s="5" t="s">
        <v>65</v>
      </c>
      <c r="D49" s="13">
        <f>0.6</f>
        <v>0.6</v>
      </c>
    </row>
    <row r="50" spans="1:4" s="7" customFormat="1" ht="14.25" customHeight="1">
      <c r="A50" s="12"/>
      <c r="B50" s="5" t="s">
        <v>25</v>
      </c>
      <c r="C50" s="5"/>
      <c r="D50" s="4" t="s">
        <v>81</v>
      </c>
    </row>
    <row r="51" spans="1:4" s="7" customFormat="1" ht="29.25" customHeight="1">
      <c r="A51" s="4">
        <v>28</v>
      </c>
      <c r="B51" s="5" t="s">
        <v>82</v>
      </c>
      <c r="C51" s="5" t="s">
        <v>9</v>
      </c>
      <c r="D51" s="8">
        <v>324207</v>
      </c>
    </row>
    <row r="52" spans="1:4" s="7" customFormat="1" ht="14.25" customHeight="1">
      <c r="A52" s="4"/>
      <c r="B52" s="10" t="s">
        <v>83</v>
      </c>
      <c r="C52" s="5" t="s">
        <v>65</v>
      </c>
      <c r="D52" s="11">
        <f>324207/5/17792.5</f>
        <v>3.6443108051145146</v>
      </c>
    </row>
    <row r="53" spans="1:4" s="7" customFormat="1" ht="14.25" customHeight="1">
      <c r="A53" s="12"/>
      <c r="B53" s="5" t="s">
        <v>25</v>
      </c>
      <c r="C53" s="5"/>
      <c r="D53" s="4" t="s">
        <v>68</v>
      </c>
    </row>
    <row r="54" spans="1:4" s="7" customFormat="1" ht="29.25" customHeight="1">
      <c r="A54" s="4">
        <v>29</v>
      </c>
      <c r="B54" s="5" t="s">
        <v>84</v>
      </c>
      <c r="C54" s="5" t="s">
        <v>9</v>
      </c>
      <c r="D54" s="8">
        <v>187289</v>
      </c>
    </row>
    <row r="55" spans="1:4" s="7" customFormat="1" ht="14.25" customHeight="1">
      <c r="A55" s="4"/>
      <c r="B55" s="10" t="s">
        <v>85</v>
      </c>
      <c r="C55" s="5" t="s">
        <v>65</v>
      </c>
      <c r="D55" s="11">
        <f>D54/5/17792.5</f>
        <v>2.1052578333567515</v>
      </c>
    </row>
    <row r="56" spans="1:4" s="7" customFormat="1" ht="14.25" customHeight="1">
      <c r="A56" s="12"/>
      <c r="B56" s="5" t="s">
        <v>25</v>
      </c>
      <c r="C56" s="5"/>
      <c r="D56" s="4" t="s">
        <v>73</v>
      </c>
    </row>
    <row r="57" spans="1:4" s="7" customFormat="1" ht="29.25" customHeight="1">
      <c r="A57" s="4">
        <v>30</v>
      </c>
      <c r="B57" s="5" t="s">
        <v>86</v>
      </c>
      <c r="C57" s="5" t="s">
        <v>9</v>
      </c>
      <c r="D57" s="8">
        <v>43350</v>
      </c>
    </row>
    <row r="58" spans="1:4" s="7" customFormat="1" ht="14.25" customHeight="1">
      <c r="A58" s="4"/>
      <c r="B58" s="10" t="s">
        <v>87</v>
      </c>
      <c r="C58" s="5" t="s">
        <v>65</v>
      </c>
      <c r="D58" s="11">
        <f>D57/5/17792.5</f>
        <v>0.4872839679640298</v>
      </c>
    </row>
    <row r="59" spans="1:4" s="7" customFormat="1" ht="29.25" customHeight="1">
      <c r="A59" s="12"/>
      <c r="B59" s="5" t="s">
        <v>25</v>
      </c>
      <c r="C59" s="5"/>
      <c r="D59" s="4" t="s">
        <v>88</v>
      </c>
    </row>
    <row r="60" spans="1:4" s="7" customFormat="1" ht="16.5" customHeight="1">
      <c r="A60" s="36" t="s">
        <v>26</v>
      </c>
      <c r="B60" s="37"/>
      <c r="C60" s="37"/>
      <c r="D60" s="38"/>
    </row>
    <row r="61" spans="1:4" s="7" customFormat="1" ht="14.25" customHeight="1">
      <c r="A61" s="4">
        <v>31</v>
      </c>
      <c r="B61" s="5" t="s">
        <v>27</v>
      </c>
      <c r="C61" s="5" t="s">
        <v>28</v>
      </c>
      <c r="D61" s="4">
        <v>0</v>
      </c>
    </row>
    <row r="62" spans="1:4" s="7" customFormat="1" ht="14.25" customHeight="1">
      <c r="A62" s="4">
        <v>32</v>
      </c>
      <c r="B62" s="5" t="s">
        <v>29</v>
      </c>
      <c r="C62" s="5" t="s">
        <v>30</v>
      </c>
      <c r="D62" s="4">
        <v>0</v>
      </c>
    </row>
    <row r="63" spans="1:4" s="7" customFormat="1" ht="14.25" customHeight="1">
      <c r="A63" s="4">
        <v>33</v>
      </c>
      <c r="B63" s="5" t="s">
        <v>31</v>
      </c>
      <c r="C63" s="5" t="s">
        <v>28</v>
      </c>
      <c r="D63" s="4">
        <v>0</v>
      </c>
    </row>
    <row r="64" spans="1:4" s="7" customFormat="1" ht="14.25" customHeight="1">
      <c r="A64" s="4">
        <v>34</v>
      </c>
      <c r="B64" s="5" t="s">
        <v>32</v>
      </c>
      <c r="C64" s="5" t="s">
        <v>9</v>
      </c>
      <c r="D64" s="4">
        <v>0</v>
      </c>
    </row>
    <row r="65" spans="1:4" s="7" customFormat="1" ht="17.25" customHeight="1">
      <c r="A65" s="36" t="s">
        <v>33</v>
      </c>
      <c r="B65" s="37"/>
      <c r="C65" s="37"/>
      <c r="D65" s="38"/>
    </row>
    <row r="66" spans="1:4" s="7" customFormat="1" ht="25.5">
      <c r="A66" s="4">
        <v>35</v>
      </c>
      <c r="B66" s="5" t="s">
        <v>34</v>
      </c>
      <c r="C66" s="5" t="s">
        <v>9</v>
      </c>
      <c r="D66" s="4">
        <f>D67+D68</f>
        <v>0</v>
      </c>
    </row>
    <row r="67" spans="1:4" s="7" customFormat="1" ht="15" customHeight="1">
      <c r="A67" s="4">
        <v>36</v>
      </c>
      <c r="B67" s="5" t="s">
        <v>10</v>
      </c>
      <c r="C67" s="5" t="s">
        <v>9</v>
      </c>
      <c r="D67" s="8">
        <v>0</v>
      </c>
    </row>
    <row r="68" spans="1:4" s="7" customFormat="1" ht="15" customHeight="1">
      <c r="A68" s="4">
        <v>37</v>
      </c>
      <c r="B68" s="5" t="s">
        <v>11</v>
      </c>
      <c r="C68" s="5" t="s">
        <v>9</v>
      </c>
      <c r="D68" s="8">
        <v>0</v>
      </c>
    </row>
    <row r="69" spans="1:4" s="7" customFormat="1" ht="25.5">
      <c r="A69" s="4">
        <v>38</v>
      </c>
      <c r="B69" s="5" t="s">
        <v>35</v>
      </c>
      <c r="C69" s="5" t="s">
        <v>9</v>
      </c>
      <c r="D69" s="8">
        <f>D71-D70</f>
        <v>945428.1200000001</v>
      </c>
    </row>
    <row r="70" spans="1:4" s="7" customFormat="1" ht="13.5" customHeight="1">
      <c r="A70" s="4">
        <v>39</v>
      </c>
      <c r="B70" s="5" t="s">
        <v>10</v>
      </c>
      <c r="C70" s="5" t="s">
        <v>9</v>
      </c>
      <c r="D70" s="8">
        <f>539.48+57.33+78.32+131.06+33.01</f>
        <v>839.2</v>
      </c>
    </row>
    <row r="71" spans="1:4" s="7" customFormat="1" ht="13.5" customHeight="1">
      <c r="A71" s="4">
        <v>40</v>
      </c>
      <c r="B71" s="5" t="s">
        <v>11</v>
      </c>
      <c r="C71" s="5" t="s">
        <v>9</v>
      </c>
      <c r="D71" s="8">
        <f>886628.26+5668.55+3052.25+4721.45+46196.81</f>
        <v>946267.3200000001</v>
      </c>
    </row>
    <row r="72" spans="1:4" s="7" customFormat="1" ht="18" customHeight="1">
      <c r="A72" s="36" t="s">
        <v>52</v>
      </c>
      <c r="B72" s="37"/>
      <c r="C72" s="37"/>
      <c r="D72" s="38"/>
    </row>
    <row r="73" spans="1:4" s="7" customFormat="1" ht="24">
      <c r="A73" s="4">
        <v>41</v>
      </c>
      <c r="B73" s="5" t="s">
        <v>36</v>
      </c>
      <c r="C73" s="5"/>
      <c r="D73" s="15" t="s">
        <v>53</v>
      </c>
    </row>
    <row r="74" spans="1:4" s="7" customFormat="1" ht="12.75">
      <c r="A74" s="4">
        <v>42</v>
      </c>
      <c r="B74" s="5" t="s">
        <v>37</v>
      </c>
      <c r="C74" s="5"/>
      <c r="D74" s="4" t="s">
        <v>59</v>
      </c>
    </row>
    <row r="75" spans="1:4" s="7" customFormat="1" ht="12.75">
      <c r="A75" s="4">
        <v>43</v>
      </c>
      <c r="B75" s="5" t="s">
        <v>38</v>
      </c>
      <c r="C75" s="5" t="s">
        <v>39</v>
      </c>
      <c r="D75" s="4">
        <f>(13.391+20.671+15.616)*1000</f>
        <v>49678</v>
      </c>
    </row>
    <row r="76" spans="1:4" s="7" customFormat="1" ht="12.75">
      <c r="A76" s="4">
        <v>44</v>
      </c>
      <c r="B76" s="5" t="s">
        <v>40</v>
      </c>
      <c r="C76" s="5" t="s">
        <v>9</v>
      </c>
      <c r="D76" s="8">
        <v>88615.18</v>
      </c>
    </row>
    <row r="77" spans="1:4" s="7" customFormat="1" ht="12.75">
      <c r="A77" s="4">
        <v>45</v>
      </c>
      <c r="B77" s="5" t="s">
        <v>41</v>
      </c>
      <c r="C77" s="5" t="s">
        <v>9</v>
      </c>
      <c r="D77" s="8">
        <v>42451.38</v>
      </c>
    </row>
    <row r="78" spans="1:4" s="7" customFormat="1" ht="12.75">
      <c r="A78" s="4">
        <v>46</v>
      </c>
      <c r="B78" s="5" t="s">
        <v>42</v>
      </c>
      <c r="C78" s="5" t="s">
        <v>9</v>
      </c>
      <c r="D78" s="8">
        <f>D76-D77</f>
        <v>46163.799999999996</v>
      </c>
    </row>
    <row r="79" spans="1:4" s="18" customFormat="1" ht="12.75">
      <c r="A79" s="4">
        <v>47</v>
      </c>
      <c r="B79" s="16" t="s">
        <v>43</v>
      </c>
      <c r="C79" s="16" t="s">
        <v>9</v>
      </c>
      <c r="D79" s="17">
        <f>96757.38+14443.16</f>
        <v>111200.54000000001</v>
      </c>
    </row>
    <row r="80" spans="1:4" s="18" customFormat="1" ht="12.75">
      <c r="A80" s="4">
        <v>48</v>
      </c>
      <c r="B80" s="16" t="s">
        <v>44</v>
      </c>
      <c r="C80" s="16" t="s">
        <v>9</v>
      </c>
      <c r="D80" s="17">
        <v>112085</v>
      </c>
    </row>
    <row r="81" spans="1:4" s="18" customFormat="1" ht="12.75">
      <c r="A81" s="4">
        <v>49</v>
      </c>
      <c r="B81" s="16" t="s">
        <v>45</v>
      </c>
      <c r="C81" s="16" t="s">
        <v>9</v>
      </c>
      <c r="D81" s="17">
        <f>D80-D79</f>
        <v>884.4599999999919</v>
      </c>
    </row>
    <row r="82" spans="1:4" s="18" customFormat="1" ht="25.5">
      <c r="A82" s="4">
        <v>50</v>
      </c>
      <c r="B82" s="16" t="s">
        <v>46</v>
      </c>
      <c r="C82" s="16" t="s">
        <v>9</v>
      </c>
      <c r="D82" s="19">
        <v>0</v>
      </c>
    </row>
    <row r="83" spans="1:4" s="7" customFormat="1" ht="24">
      <c r="A83" s="4">
        <v>51</v>
      </c>
      <c r="B83" s="5" t="s">
        <v>36</v>
      </c>
      <c r="C83" s="5"/>
      <c r="D83" s="15" t="s">
        <v>54</v>
      </c>
    </row>
    <row r="84" spans="1:4" s="7" customFormat="1" ht="12.75">
      <c r="A84" s="4">
        <v>52</v>
      </c>
      <c r="B84" s="5" t="s">
        <v>37</v>
      </c>
      <c r="C84" s="5"/>
      <c r="D84" s="4" t="s">
        <v>60</v>
      </c>
    </row>
    <row r="85" spans="1:4" s="7" customFormat="1" ht="12.75">
      <c r="A85" s="4">
        <v>53</v>
      </c>
      <c r="B85" s="5" t="s">
        <v>38</v>
      </c>
      <c r="C85" s="5" t="s">
        <v>39</v>
      </c>
      <c r="D85" s="4">
        <v>853</v>
      </c>
    </row>
    <row r="86" spans="1:4" s="7" customFormat="1" ht="12.75">
      <c r="A86" s="4">
        <v>54</v>
      </c>
      <c r="B86" s="5" t="s">
        <v>40</v>
      </c>
      <c r="C86" s="5" t="s">
        <v>9</v>
      </c>
      <c r="D86" s="8">
        <v>12562.54</v>
      </c>
    </row>
    <row r="87" spans="1:4" s="7" customFormat="1" ht="12.75">
      <c r="A87" s="4">
        <v>55</v>
      </c>
      <c r="B87" s="5" t="s">
        <v>41</v>
      </c>
      <c r="C87" s="5" t="s">
        <v>9</v>
      </c>
      <c r="D87" s="8">
        <v>6951.32</v>
      </c>
    </row>
    <row r="88" spans="1:4" s="7" customFormat="1" ht="12.75">
      <c r="A88" s="4">
        <v>56</v>
      </c>
      <c r="B88" s="5" t="s">
        <v>42</v>
      </c>
      <c r="C88" s="5" t="s">
        <v>9</v>
      </c>
      <c r="D88" s="8">
        <f>D86-D87</f>
        <v>5611.220000000001</v>
      </c>
    </row>
    <row r="89" spans="1:4" s="18" customFormat="1" ht="12.75">
      <c r="A89" s="4">
        <v>57</v>
      </c>
      <c r="B89" s="16" t="s">
        <v>43</v>
      </c>
      <c r="C89" s="16" t="s">
        <v>9</v>
      </c>
      <c r="D89" s="17">
        <f>24349.07</f>
        <v>24349.07</v>
      </c>
    </row>
    <row r="90" spans="1:4" s="18" customFormat="1" ht="12.75">
      <c r="A90" s="4">
        <v>58</v>
      </c>
      <c r="B90" s="16" t="s">
        <v>44</v>
      </c>
      <c r="C90" s="16" t="s">
        <v>9</v>
      </c>
      <c r="D90" s="17">
        <v>25153</v>
      </c>
    </row>
    <row r="91" spans="1:4" s="18" customFormat="1" ht="12.75">
      <c r="A91" s="4">
        <v>59</v>
      </c>
      <c r="B91" s="16" t="s">
        <v>45</v>
      </c>
      <c r="C91" s="16" t="s">
        <v>9</v>
      </c>
      <c r="D91" s="17">
        <f>D90-D89</f>
        <v>803.9300000000003</v>
      </c>
    </row>
    <row r="92" spans="1:4" s="18" customFormat="1" ht="25.5">
      <c r="A92" s="4">
        <v>60</v>
      </c>
      <c r="B92" s="16" t="s">
        <v>46</v>
      </c>
      <c r="C92" s="16" t="s">
        <v>9</v>
      </c>
      <c r="D92" s="19">
        <v>0</v>
      </c>
    </row>
    <row r="93" spans="1:4" s="7" customFormat="1" ht="25.5">
      <c r="A93" s="4">
        <v>61</v>
      </c>
      <c r="B93" s="5" t="s">
        <v>36</v>
      </c>
      <c r="C93" s="5"/>
      <c r="D93" s="20" t="s">
        <v>55</v>
      </c>
    </row>
    <row r="94" spans="1:4" s="7" customFormat="1" ht="12.75">
      <c r="A94" s="4">
        <v>62</v>
      </c>
      <c r="B94" s="5" t="s">
        <v>37</v>
      </c>
      <c r="C94" s="5"/>
      <c r="D94" s="4" t="s">
        <v>60</v>
      </c>
    </row>
    <row r="95" spans="1:4" s="7" customFormat="1" ht="12.75">
      <c r="A95" s="4">
        <v>63</v>
      </c>
      <c r="B95" s="5" t="s">
        <v>38</v>
      </c>
      <c r="C95" s="5" t="s">
        <v>39</v>
      </c>
      <c r="D95" s="4">
        <v>0</v>
      </c>
    </row>
    <row r="96" spans="1:4" s="7" customFormat="1" ht="12.75">
      <c r="A96" s="4">
        <v>64</v>
      </c>
      <c r="B96" s="5" t="s">
        <v>40</v>
      </c>
      <c r="C96" s="5" t="s">
        <v>9</v>
      </c>
      <c r="D96" s="8">
        <v>10715.97</v>
      </c>
    </row>
    <row r="97" spans="1:4" s="7" customFormat="1" ht="12.75">
      <c r="A97" s="4">
        <v>65</v>
      </c>
      <c r="B97" s="5" t="s">
        <v>41</v>
      </c>
      <c r="C97" s="5" t="s">
        <v>9</v>
      </c>
      <c r="D97" s="8">
        <v>6125.58</v>
      </c>
    </row>
    <row r="98" spans="1:4" s="7" customFormat="1" ht="12.75">
      <c r="A98" s="4">
        <v>66</v>
      </c>
      <c r="B98" s="5" t="s">
        <v>42</v>
      </c>
      <c r="C98" s="5" t="s">
        <v>9</v>
      </c>
      <c r="D98" s="8">
        <f>D96-D97</f>
        <v>4590.389999999999</v>
      </c>
    </row>
    <row r="99" spans="1:4" s="18" customFormat="1" ht="12.75">
      <c r="A99" s="4">
        <v>67</v>
      </c>
      <c r="B99" s="16" t="s">
        <v>43</v>
      </c>
      <c r="C99" s="16" t="s">
        <v>9</v>
      </c>
      <c r="D99" s="17">
        <v>0</v>
      </c>
    </row>
    <row r="100" spans="1:4" s="18" customFormat="1" ht="12.75">
      <c r="A100" s="4">
        <v>68</v>
      </c>
      <c r="B100" s="16" t="s">
        <v>44</v>
      </c>
      <c r="C100" s="16" t="s">
        <v>9</v>
      </c>
      <c r="D100" s="17">
        <v>0</v>
      </c>
    </row>
    <row r="101" spans="1:4" s="18" customFormat="1" ht="12.75">
      <c r="A101" s="4">
        <v>69</v>
      </c>
      <c r="B101" s="16" t="s">
        <v>45</v>
      </c>
      <c r="C101" s="16" t="s">
        <v>9</v>
      </c>
      <c r="D101" s="17">
        <f>D100-D99</f>
        <v>0</v>
      </c>
    </row>
    <row r="102" spans="1:4" s="18" customFormat="1" ht="25.5">
      <c r="A102" s="4">
        <v>70</v>
      </c>
      <c r="B102" s="16" t="s">
        <v>46</v>
      </c>
      <c r="C102" s="16" t="s">
        <v>9</v>
      </c>
      <c r="D102" s="19"/>
    </row>
    <row r="103" spans="1:4" s="7" customFormat="1" ht="24">
      <c r="A103" s="4">
        <v>71</v>
      </c>
      <c r="B103" s="5" t="s">
        <v>36</v>
      </c>
      <c r="C103" s="5"/>
      <c r="D103" s="15" t="s">
        <v>58</v>
      </c>
    </row>
    <row r="104" spans="1:4" s="7" customFormat="1" ht="12.75">
      <c r="A104" s="4">
        <v>72</v>
      </c>
      <c r="B104" s="5" t="s">
        <v>37</v>
      </c>
      <c r="C104" s="5"/>
      <c r="D104" s="4" t="s">
        <v>61</v>
      </c>
    </row>
    <row r="105" spans="1:4" s="7" customFormat="1" ht="12.75">
      <c r="A105" s="4">
        <v>73</v>
      </c>
      <c r="B105" s="5" t="s">
        <v>38</v>
      </c>
      <c r="C105" s="5" t="s">
        <v>39</v>
      </c>
      <c r="D105" s="4">
        <v>537</v>
      </c>
    </row>
    <row r="106" spans="1:4" s="7" customFormat="1" ht="12.75">
      <c r="A106" s="4">
        <v>74</v>
      </c>
      <c r="B106" s="5" t="s">
        <v>40</v>
      </c>
      <c r="C106" s="5" t="s">
        <v>9</v>
      </c>
      <c r="D106" s="8">
        <v>1461453.32</v>
      </c>
    </row>
    <row r="107" spans="1:4" s="7" customFormat="1" ht="12.75">
      <c r="A107" s="4">
        <v>75</v>
      </c>
      <c r="B107" s="5" t="s">
        <v>41</v>
      </c>
      <c r="C107" s="5" t="s">
        <v>9</v>
      </c>
      <c r="D107" s="8">
        <v>575364.54</v>
      </c>
    </row>
    <row r="108" spans="1:4" s="7" customFormat="1" ht="12.75">
      <c r="A108" s="4">
        <v>76</v>
      </c>
      <c r="B108" s="5" t="s">
        <v>42</v>
      </c>
      <c r="C108" s="5" t="s">
        <v>9</v>
      </c>
      <c r="D108" s="8">
        <f>D106-D107</f>
        <v>886088.78</v>
      </c>
    </row>
    <row r="109" spans="1:4" s="18" customFormat="1" ht="12.75">
      <c r="A109" s="4">
        <v>77</v>
      </c>
      <c r="B109" s="16" t="s">
        <v>43</v>
      </c>
      <c r="C109" s="16" t="s">
        <v>9</v>
      </c>
      <c r="D109" s="17">
        <f>652948.6+46867.31</f>
        <v>699815.9099999999</v>
      </c>
    </row>
    <row r="110" spans="1:4" s="18" customFormat="1" ht="12.75">
      <c r="A110" s="4">
        <v>78</v>
      </c>
      <c r="B110" s="16" t="s">
        <v>44</v>
      </c>
      <c r="C110" s="16" t="s">
        <v>9</v>
      </c>
      <c r="D110" s="17">
        <v>665041</v>
      </c>
    </row>
    <row r="111" spans="1:4" s="18" customFormat="1" ht="12.75">
      <c r="A111" s="4">
        <v>79</v>
      </c>
      <c r="B111" s="16" t="s">
        <v>45</v>
      </c>
      <c r="C111" s="16" t="s">
        <v>9</v>
      </c>
      <c r="D111" s="17">
        <f>D110-D109</f>
        <v>-34774.909999999916</v>
      </c>
    </row>
    <row r="112" spans="1:4" s="18" customFormat="1" ht="25.5">
      <c r="A112" s="4">
        <v>80</v>
      </c>
      <c r="B112" s="16" t="s">
        <v>46</v>
      </c>
      <c r="C112" s="16" t="s">
        <v>9</v>
      </c>
      <c r="D112" s="19">
        <v>0</v>
      </c>
    </row>
    <row r="113" spans="1:4" s="7" customFormat="1" ht="12.75">
      <c r="A113" s="4">
        <v>81</v>
      </c>
      <c r="B113" s="5" t="s">
        <v>36</v>
      </c>
      <c r="C113" s="5"/>
      <c r="D113" s="20" t="s">
        <v>56</v>
      </c>
    </row>
    <row r="114" spans="1:4" s="7" customFormat="1" ht="12.75">
      <c r="A114" s="4">
        <v>82</v>
      </c>
      <c r="B114" s="5" t="s">
        <v>37</v>
      </c>
      <c r="C114" s="5"/>
      <c r="D114" s="4" t="s">
        <v>60</v>
      </c>
    </row>
    <row r="115" spans="1:4" s="7" customFormat="1" ht="12.75">
      <c r="A115" s="4">
        <v>83</v>
      </c>
      <c r="B115" s="5" t="s">
        <v>38</v>
      </c>
      <c r="C115" s="5" t="s">
        <v>39</v>
      </c>
      <c r="D115" s="4">
        <v>582</v>
      </c>
    </row>
    <row r="116" spans="1:4" s="7" customFormat="1" ht="12.75">
      <c r="A116" s="4">
        <v>84</v>
      </c>
      <c r="B116" s="5" t="s">
        <v>40</v>
      </c>
      <c r="C116" s="5" t="s">
        <v>9</v>
      </c>
      <c r="D116" s="8">
        <v>7863.3</v>
      </c>
    </row>
    <row r="117" spans="1:4" s="7" customFormat="1" ht="12.75">
      <c r="A117" s="4">
        <v>85</v>
      </c>
      <c r="B117" s="5" t="s">
        <v>41</v>
      </c>
      <c r="C117" s="5" t="s">
        <v>9</v>
      </c>
      <c r="D117" s="8">
        <v>4889.37</v>
      </c>
    </row>
    <row r="118" spans="1:4" s="7" customFormat="1" ht="12.75">
      <c r="A118" s="4">
        <v>86</v>
      </c>
      <c r="B118" s="5" t="s">
        <v>42</v>
      </c>
      <c r="C118" s="5" t="s">
        <v>9</v>
      </c>
      <c r="D118" s="8">
        <f>D116-D117</f>
        <v>2973.9300000000003</v>
      </c>
    </row>
    <row r="119" spans="1:4" s="18" customFormat="1" ht="12.75">
      <c r="A119" s="4">
        <v>87</v>
      </c>
      <c r="B119" s="16" t="s">
        <v>43</v>
      </c>
      <c r="C119" s="16" t="s">
        <v>9</v>
      </c>
      <c r="D119" s="17">
        <f>8923.2+19105.72</f>
        <v>28028.920000000002</v>
      </c>
    </row>
    <row r="120" spans="1:4" s="18" customFormat="1" ht="12.75">
      <c r="A120" s="4">
        <v>88</v>
      </c>
      <c r="B120" s="16" t="s">
        <v>44</v>
      </c>
      <c r="C120" s="16" t="s">
        <v>9</v>
      </c>
      <c r="D120" s="17">
        <v>39498</v>
      </c>
    </row>
    <row r="121" spans="1:4" s="18" customFormat="1" ht="12.75">
      <c r="A121" s="4">
        <v>89</v>
      </c>
      <c r="B121" s="16" t="s">
        <v>45</v>
      </c>
      <c r="C121" s="16" t="s">
        <v>9</v>
      </c>
      <c r="D121" s="17">
        <f>D120-D119</f>
        <v>11469.079999999998</v>
      </c>
    </row>
    <row r="122" spans="1:4" s="18" customFormat="1" ht="25.5">
      <c r="A122" s="4">
        <v>90</v>
      </c>
      <c r="B122" s="16" t="s">
        <v>46</v>
      </c>
      <c r="C122" s="16" t="s">
        <v>9</v>
      </c>
      <c r="D122" s="19">
        <v>0</v>
      </c>
    </row>
    <row r="123" spans="1:4" s="18" customFormat="1" ht="16.5" customHeight="1">
      <c r="A123" s="36" t="s">
        <v>47</v>
      </c>
      <c r="B123" s="37"/>
      <c r="C123" s="37"/>
      <c r="D123" s="38"/>
    </row>
    <row r="124" spans="1:4" s="18" customFormat="1" ht="12.75">
      <c r="A124" s="4">
        <v>91</v>
      </c>
      <c r="B124" s="16" t="s">
        <v>27</v>
      </c>
      <c r="C124" s="16" t="s">
        <v>28</v>
      </c>
      <c r="D124" s="19">
        <v>0</v>
      </c>
    </row>
    <row r="125" spans="1:4" s="18" customFormat="1" ht="12.75">
      <c r="A125" s="4">
        <v>92</v>
      </c>
      <c r="B125" s="16" t="s">
        <v>29</v>
      </c>
      <c r="C125" s="16" t="s">
        <v>28</v>
      </c>
      <c r="D125" s="19">
        <v>0</v>
      </c>
    </row>
    <row r="126" spans="1:4" s="18" customFormat="1" ht="12.75">
      <c r="A126" s="4">
        <v>93</v>
      </c>
      <c r="B126" s="16" t="s">
        <v>31</v>
      </c>
      <c r="C126" s="16"/>
      <c r="D126" s="19">
        <v>0</v>
      </c>
    </row>
    <row r="127" spans="1:4" s="18" customFormat="1" ht="12.75">
      <c r="A127" s="4">
        <v>94</v>
      </c>
      <c r="B127" s="16" t="s">
        <v>32</v>
      </c>
      <c r="C127" s="16" t="s">
        <v>9</v>
      </c>
      <c r="D127" s="19">
        <v>0</v>
      </c>
    </row>
    <row r="128" spans="1:4" s="18" customFormat="1" ht="21" customHeight="1">
      <c r="A128" s="36" t="s">
        <v>48</v>
      </c>
      <c r="B128" s="37"/>
      <c r="C128" s="37"/>
      <c r="D128" s="38"/>
    </row>
    <row r="129" spans="1:4" s="18" customFormat="1" ht="12.75">
      <c r="A129" s="4">
        <v>95</v>
      </c>
      <c r="B129" s="16" t="s">
        <v>49</v>
      </c>
      <c r="C129" s="16" t="s">
        <v>28</v>
      </c>
      <c r="D129" s="19">
        <v>0</v>
      </c>
    </row>
    <row r="130" spans="1:4" s="18" customFormat="1" ht="12.75">
      <c r="A130" s="4">
        <v>96</v>
      </c>
      <c r="B130" s="16" t="s">
        <v>50</v>
      </c>
      <c r="C130" s="16" t="s">
        <v>28</v>
      </c>
      <c r="D130" s="19">
        <v>0</v>
      </c>
    </row>
    <row r="131" spans="1:4" s="18" customFormat="1" ht="25.5">
      <c r="A131" s="4">
        <v>97</v>
      </c>
      <c r="B131" s="16" t="s">
        <v>51</v>
      </c>
      <c r="C131" s="16" t="s">
        <v>9</v>
      </c>
      <c r="D131" s="19">
        <v>0</v>
      </c>
    </row>
    <row r="132" spans="1:4" s="18" customFormat="1" ht="12.75">
      <c r="A132" s="21"/>
      <c r="B132" s="22"/>
      <c r="C132" s="22"/>
      <c r="D132" s="22"/>
    </row>
    <row r="133" spans="1:4" ht="15">
      <c r="A133" s="23"/>
      <c r="B133" s="24"/>
      <c r="C133" s="24"/>
      <c r="D133" s="24"/>
    </row>
    <row r="134" spans="1:4" ht="15">
      <c r="A134" s="23"/>
      <c r="B134" s="24"/>
      <c r="C134" s="24"/>
      <c r="D134" s="24"/>
    </row>
    <row r="135" spans="1:4" ht="15">
      <c r="A135" s="23"/>
      <c r="B135" s="24"/>
      <c r="C135" s="24"/>
      <c r="D135" s="24"/>
    </row>
    <row r="136" spans="1:4" ht="15">
      <c r="A136" s="23"/>
      <c r="B136" s="24"/>
      <c r="C136" s="24"/>
      <c r="D136" s="24"/>
    </row>
    <row r="137" spans="1:4" ht="15">
      <c r="A137" s="23"/>
      <c r="B137" s="24"/>
      <c r="C137" s="24"/>
      <c r="D137" s="24"/>
    </row>
    <row r="138" spans="1:4" ht="15">
      <c r="A138" s="23"/>
      <c r="B138" s="24"/>
      <c r="C138" s="24"/>
      <c r="D138" s="24"/>
    </row>
    <row r="139" spans="1:4" ht="15">
      <c r="A139" s="23"/>
      <c r="B139" s="24"/>
      <c r="C139" s="24"/>
      <c r="D139" s="24"/>
    </row>
    <row r="140" spans="1:4" ht="15">
      <c r="A140" s="23"/>
      <c r="B140" s="24"/>
      <c r="C140" s="24"/>
      <c r="D140" s="24"/>
    </row>
    <row r="141" spans="1:4" ht="15">
      <c r="A141" s="23"/>
      <c r="B141" s="24"/>
      <c r="C141" s="24"/>
      <c r="D141" s="24"/>
    </row>
    <row r="142" spans="1:4" ht="15">
      <c r="A142" s="23"/>
      <c r="B142" s="24"/>
      <c r="C142" s="24"/>
      <c r="D142" s="24"/>
    </row>
    <row r="143" spans="1:4" ht="15">
      <c r="A143" s="23"/>
      <c r="B143" s="24"/>
      <c r="C143" s="24"/>
      <c r="D143" s="24"/>
    </row>
    <row r="144" spans="1:4" ht="15">
      <c r="A144" s="23"/>
      <c r="B144" s="24"/>
      <c r="C144" s="24"/>
      <c r="D144" s="24"/>
    </row>
    <row r="145" spans="1:4" ht="15">
      <c r="A145" s="23"/>
      <c r="B145" s="24"/>
      <c r="C145" s="24"/>
      <c r="D145" s="24"/>
    </row>
    <row r="146" spans="1:4" ht="15">
      <c r="A146" s="23"/>
      <c r="B146" s="24"/>
      <c r="C146" s="24"/>
      <c r="D146" s="24"/>
    </row>
    <row r="147" spans="1:4" ht="15">
      <c r="A147" s="23"/>
      <c r="B147" s="24"/>
      <c r="C147" s="24"/>
      <c r="D147" s="24"/>
    </row>
    <row r="148" spans="1:4" ht="15">
      <c r="A148" s="23"/>
      <c r="B148" s="24"/>
      <c r="C148" s="24"/>
      <c r="D148" s="24"/>
    </row>
    <row r="149" spans="1:4" ht="15">
      <c r="A149" s="23"/>
      <c r="B149" s="24"/>
      <c r="C149" s="24"/>
      <c r="D149" s="24"/>
    </row>
    <row r="150" spans="1:4" ht="15">
      <c r="A150" s="23"/>
      <c r="B150" s="24"/>
      <c r="C150" s="24"/>
      <c r="D150" s="24"/>
    </row>
    <row r="151" spans="1:4" ht="15">
      <c r="A151" s="23"/>
      <c r="B151" s="24"/>
      <c r="C151" s="24"/>
      <c r="D151" s="24"/>
    </row>
    <row r="152" spans="1:4" ht="15">
      <c r="A152" s="23"/>
      <c r="B152" s="24"/>
      <c r="C152" s="24"/>
      <c r="D152" s="24"/>
    </row>
    <row r="153" spans="1:4" ht="15">
      <c r="A153" s="23"/>
      <c r="B153" s="24"/>
      <c r="C153" s="24"/>
      <c r="D153" s="24"/>
    </row>
    <row r="154" spans="1:4" ht="15">
      <c r="A154" s="23"/>
      <c r="B154" s="24"/>
      <c r="C154" s="24"/>
      <c r="D154" s="24"/>
    </row>
    <row r="155" spans="1:4" ht="15">
      <c r="A155" s="23"/>
      <c r="B155" s="24"/>
      <c r="C155" s="24"/>
      <c r="D155" s="24"/>
    </row>
    <row r="156" spans="1:4" ht="15">
      <c r="A156" s="23"/>
      <c r="B156" s="24"/>
      <c r="C156" s="24"/>
      <c r="D156" s="24"/>
    </row>
    <row r="157" spans="1:4" ht="15">
      <c r="A157" s="23"/>
      <c r="B157" s="24"/>
      <c r="C157" s="24"/>
      <c r="D157" s="24"/>
    </row>
    <row r="158" spans="1:4" ht="15">
      <c r="A158" s="23"/>
      <c r="B158" s="24"/>
      <c r="C158" s="24"/>
      <c r="D158" s="24"/>
    </row>
    <row r="159" spans="1:4" ht="15">
      <c r="A159" s="23"/>
      <c r="B159" s="24"/>
      <c r="C159" s="24"/>
      <c r="D159" s="24"/>
    </row>
  </sheetData>
  <sheetProtection/>
  <mergeCells count="8">
    <mergeCell ref="A123:D123"/>
    <mergeCell ref="A128:D128"/>
    <mergeCell ref="A1:D1"/>
    <mergeCell ref="A7:D7"/>
    <mergeCell ref="A25:D25"/>
    <mergeCell ref="A60:D60"/>
    <mergeCell ref="A65:D65"/>
    <mergeCell ref="A72:D72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7"/>
  <sheetViews>
    <sheetView zoomScalePageLayoutView="0" workbookViewId="0" topLeftCell="A43">
      <selection activeCell="E58" sqref="E58"/>
    </sheetView>
  </sheetViews>
  <sheetFormatPr defaultColWidth="9.140625" defaultRowHeight="15"/>
  <cols>
    <col min="1" max="1" width="6.28125" style="25" customWidth="1"/>
    <col min="2" max="2" width="53.14062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3" customHeight="1">
      <c r="A1" s="39" t="s">
        <v>95</v>
      </c>
      <c r="B1" s="39"/>
      <c r="C1" s="39"/>
      <c r="D1" s="39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2.75">
      <c r="A4" s="4">
        <v>1</v>
      </c>
      <c r="B4" s="5" t="s">
        <v>4</v>
      </c>
      <c r="C4" s="4" t="s">
        <v>57</v>
      </c>
      <c r="D4" s="6">
        <v>42825</v>
      </c>
    </row>
    <row r="5" spans="1:4" s="7" customFormat="1" ht="12.75">
      <c r="A5" s="4">
        <v>2</v>
      </c>
      <c r="B5" s="5" t="s">
        <v>5</v>
      </c>
      <c r="C5" s="4" t="s">
        <v>57</v>
      </c>
      <c r="D5" s="6">
        <v>42370</v>
      </c>
    </row>
    <row r="6" spans="1:4" s="7" customFormat="1" ht="12.75">
      <c r="A6" s="4">
        <v>3</v>
      </c>
      <c r="B6" s="5" t="s">
        <v>6</v>
      </c>
      <c r="C6" s="4" t="s">
        <v>57</v>
      </c>
      <c r="D6" s="6">
        <v>42735</v>
      </c>
    </row>
    <row r="7" spans="1:4" s="7" customFormat="1" ht="27.75" customHeight="1">
      <c r="A7" s="36" t="s">
        <v>7</v>
      </c>
      <c r="B7" s="37"/>
      <c r="C7" s="37"/>
      <c r="D7" s="38"/>
    </row>
    <row r="8" spans="1:4" s="7" customFormat="1" ht="12.75">
      <c r="A8" s="4">
        <v>4</v>
      </c>
      <c r="B8" s="5" t="s">
        <v>8</v>
      </c>
      <c r="C8" s="5" t="s">
        <v>9</v>
      </c>
      <c r="D8" s="8">
        <f>D10-D9</f>
        <v>226006.91</v>
      </c>
    </row>
    <row r="9" spans="1:4" s="7" customFormat="1" ht="12.75">
      <c r="A9" s="4">
        <v>5</v>
      </c>
      <c r="B9" s="5" t="s">
        <v>10</v>
      </c>
      <c r="C9" s="5" t="s">
        <v>9</v>
      </c>
      <c r="D9" s="9">
        <f>33.85+0.32+326.81+2.14+10.12+0.79+368.93+3.62+23.08+110.3+8.73</f>
        <v>888.69</v>
      </c>
    </row>
    <row r="10" spans="1:4" s="7" customFormat="1" ht="12.75">
      <c r="A10" s="4">
        <v>6</v>
      </c>
      <c r="B10" s="5" t="s">
        <v>11</v>
      </c>
      <c r="C10" s="5" t="s">
        <v>9</v>
      </c>
      <c r="D10" s="9">
        <f>157.22+1.53+7935.11+9.83+46.98+3.71+157238.41+1565.05+10091.31+0.14+46987.64+2858.67</f>
        <v>226895.6</v>
      </c>
    </row>
    <row r="11" spans="1:4" s="7" customFormat="1" ht="25.5">
      <c r="A11" s="4">
        <v>7</v>
      </c>
      <c r="B11" s="5" t="s">
        <v>12</v>
      </c>
      <c r="C11" s="5"/>
      <c r="D11" s="8">
        <f>-123.37-1.21+9290-7.69-36.86-2.92+40+46210+1306047.87+11605.09+345.8+49789.93+299109.96+12985.16+28600.12</f>
        <v>1763851.8800000001</v>
      </c>
    </row>
    <row r="12" spans="1:4" s="7" customFormat="1" ht="12.75">
      <c r="A12" s="4">
        <v>8</v>
      </c>
      <c r="B12" s="5" t="s">
        <v>13</v>
      </c>
      <c r="C12" s="5" t="s">
        <v>9</v>
      </c>
      <c r="D12" s="8">
        <f>D11-D14</f>
        <v>1518615.8800000001</v>
      </c>
    </row>
    <row r="13" spans="1:4" s="7" customFormat="1" ht="12.75">
      <c r="A13" s="4">
        <v>9</v>
      </c>
      <c r="B13" s="5" t="s">
        <v>14</v>
      </c>
      <c r="C13" s="5" t="s">
        <v>9</v>
      </c>
      <c r="D13" s="8">
        <v>0</v>
      </c>
    </row>
    <row r="14" spans="1:4" s="7" customFormat="1" ht="12.75">
      <c r="A14" s="4">
        <v>10</v>
      </c>
      <c r="B14" s="5" t="s">
        <v>15</v>
      </c>
      <c r="C14" s="5" t="s">
        <v>9</v>
      </c>
      <c r="D14" s="8">
        <v>245236</v>
      </c>
    </row>
    <row r="15" spans="1:4" s="7" customFormat="1" ht="12.75">
      <c r="A15" s="4">
        <v>11</v>
      </c>
      <c r="B15" s="5" t="s">
        <v>16</v>
      </c>
      <c r="C15" s="5" t="s">
        <v>9</v>
      </c>
      <c r="D15" s="8">
        <f>SUM(D16:D20)</f>
        <v>1774586.97</v>
      </c>
    </row>
    <row r="16" spans="1:4" s="7" customFormat="1" ht="12.75">
      <c r="A16" s="4">
        <v>12</v>
      </c>
      <c r="B16" s="5" t="s">
        <v>17</v>
      </c>
      <c r="C16" s="5" t="s">
        <v>9</v>
      </c>
      <c r="D16" s="8">
        <f>13593.86+40+40800.94+862.7+1292171.31+11548.45+345.84+52033.83+0.14+303752.92+9617.74+28232.92</f>
        <v>1753000.65</v>
      </c>
    </row>
    <row r="17" spans="1:4" s="7" customFormat="1" ht="12.75">
      <c r="A17" s="4">
        <v>13</v>
      </c>
      <c r="B17" s="5" t="s">
        <v>18</v>
      </c>
      <c r="C17" s="5" t="s">
        <v>9</v>
      </c>
      <c r="D17" s="8">
        <v>0</v>
      </c>
    </row>
    <row r="18" spans="1:4" s="7" customFormat="1" ht="12.75">
      <c r="A18" s="4">
        <v>14</v>
      </c>
      <c r="B18" s="5" t="s">
        <v>19</v>
      </c>
      <c r="C18" s="5" t="s">
        <v>9</v>
      </c>
      <c r="D18" s="8">
        <v>0</v>
      </c>
    </row>
    <row r="19" spans="1:4" s="7" customFormat="1" ht="12.75">
      <c r="A19" s="4">
        <v>15</v>
      </c>
      <c r="B19" s="5" t="s">
        <v>20</v>
      </c>
      <c r="C19" s="5" t="s">
        <v>9</v>
      </c>
      <c r="D19" s="8">
        <v>21586.32</v>
      </c>
    </row>
    <row r="20" spans="1:4" s="7" customFormat="1" ht="12.75">
      <c r="A20" s="4">
        <v>16</v>
      </c>
      <c r="B20" s="5" t="s">
        <v>21</v>
      </c>
      <c r="C20" s="5" t="s">
        <v>9</v>
      </c>
      <c r="D20" s="8">
        <v>0</v>
      </c>
    </row>
    <row r="21" spans="1:4" s="7" customFormat="1" ht="12.75">
      <c r="A21" s="4">
        <v>17</v>
      </c>
      <c r="B21" s="5" t="s">
        <v>22</v>
      </c>
      <c r="C21" s="5" t="s">
        <v>9</v>
      </c>
      <c r="D21" s="8">
        <f>D8+D15</f>
        <v>2000593.88</v>
      </c>
    </row>
    <row r="22" spans="1:4" s="7" customFormat="1" ht="12.75">
      <c r="A22" s="4">
        <v>18</v>
      </c>
      <c r="B22" s="5" t="s">
        <v>23</v>
      </c>
      <c r="C22" s="5" t="s">
        <v>9</v>
      </c>
      <c r="D22" s="8">
        <f>D24-D23</f>
        <v>243281.34</v>
      </c>
    </row>
    <row r="23" spans="1:4" s="7" customFormat="1" ht="12.75">
      <c r="A23" s="4">
        <v>19</v>
      </c>
      <c r="B23" s="5" t="s">
        <v>10</v>
      </c>
      <c r="C23" s="5" t="s">
        <v>9</v>
      </c>
      <c r="D23" s="9">
        <f>35.38+166.48+1.41+0.04+6.16+35.87+16.81+3.57</f>
        <v>265.71999999999997</v>
      </c>
    </row>
    <row r="24" spans="1:5" s="7" customFormat="1" ht="12.75">
      <c r="A24" s="4">
        <v>20</v>
      </c>
      <c r="B24" s="5" t="s">
        <v>11</v>
      </c>
      <c r="C24" s="5" t="s">
        <v>9</v>
      </c>
      <c r="D24" s="9">
        <f>3304.44+5444.44+5560.5+170912.52+1619.48+7830.49+42270.25+3384.23+3220.71</f>
        <v>243547.06</v>
      </c>
      <c r="E24" s="14"/>
    </row>
    <row r="25" spans="1:4" s="7" customFormat="1" ht="26.25" customHeight="1">
      <c r="A25" s="36" t="s">
        <v>24</v>
      </c>
      <c r="B25" s="37"/>
      <c r="C25" s="37"/>
      <c r="D25" s="38"/>
    </row>
    <row r="26" spans="1:4" s="7" customFormat="1" ht="27.75" customHeight="1">
      <c r="A26" s="4">
        <v>21</v>
      </c>
      <c r="B26" s="5" t="s">
        <v>62</v>
      </c>
      <c r="C26" s="5" t="s">
        <v>9</v>
      </c>
      <c r="D26" s="8">
        <v>107124</v>
      </c>
    </row>
    <row r="27" spans="1:4" s="7" customFormat="1" ht="19.5" customHeight="1">
      <c r="A27" s="4"/>
      <c r="B27" s="5" t="s">
        <v>63</v>
      </c>
      <c r="C27" s="5" t="s">
        <v>65</v>
      </c>
      <c r="D27" s="34">
        <f>D26/12/6907</f>
        <v>1.292456927754452</v>
      </c>
    </row>
    <row r="28" spans="1:4" s="7" customFormat="1" ht="14.25" customHeight="1">
      <c r="A28" s="4"/>
      <c r="B28" s="5" t="s">
        <v>25</v>
      </c>
      <c r="C28" s="5"/>
      <c r="D28" s="4" t="s">
        <v>64</v>
      </c>
    </row>
    <row r="29" spans="1:4" s="7" customFormat="1" ht="26.25" customHeight="1">
      <c r="A29" s="4">
        <v>22</v>
      </c>
      <c r="B29" s="5" t="s">
        <v>66</v>
      </c>
      <c r="C29" s="5" t="s">
        <v>9</v>
      </c>
      <c r="D29" s="8">
        <v>283614</v>
      </c>
    </row>
    <row r="30" spans="1:4" s="7" customFormat="1" ht="14.25" customHeight="1">
      <c r="A30" s="4"/>
      <c r="B30" s="10" t="s">
        <v>67</v>
      </c>
      <c r="C30" s="5" t="s">
        <v>65</v>
      </c>
      <c r="D30" s="11">
        <f>D29/6907/12</f>
        <v>3.4218184450557403</v>
      </c>
    </row>
    <row r="31" spans="1:4" s="7" customFormat="1" ht="14.25" customHeight="1">
      <c r="A31" s="12"/>
      <c r="B31" s="5" t="s">
        <v>25</v>
      </c>
      <c r="C31" s="5"/>
      <c r="D31" s="4" t="s">
        <v>68</v>
      </c>
    </row>
    <row r="32" spans="1:4" s="7" customFormat="1" ht="26.25" customHeight="1">
      <c r="A32" s="4">
        <v>23</v>
      </c>
      <c r="B32" s="5" t="s">
        <v>69</v>
      </c>
      <c r="C32" s="5" t="s">
        <v>9</v>
      </c>
      <c r="D32" s="8">
        <v>11548</v>
      </c>
    </row>
    <row r="33" spans="1:4" s="7" customFormat="1" ht="14.25" customHeight="1">
      <c r="A33" s="4"/>
      <c r="B33" s="10" t="s">
        <v>70</v>
      </c>
      <c r="C33" s="5" t="s">
        <v>65</v>
      </c>
      <c r="D33" s="11">
        <f>D32/12/6907</f>
        <v>0.13932725254572656</v>
      </c>
    </row>
    <row r="34" spans="1:4" s="7" customFormat="1" ht="14.25" customHeight="1">
      <c r="A34" s="12"/>
      <c r="B34" s="5" t="s">
        <v>25</v>
      </c>
      <c r="C34" s="5"/>
      <c r="D34" s="4" t="s">
        <v>71</v>
      </c>
    </row>
    <row r="35" spans="1:4" s="7" customFormat="1" ht="40.5" customHeight="1">
      <c r="A35" s="4">
        <v>24</v>
      </c>
      <c r="B35" s="5" t="s">
        <v>90</v>
      </c>
      <c r="C35" s="5" t="s">
        <v>9</v>
      </c>
      <c r="D35" s="8">
        <f>93387+25796</f>
        <v>119183</v>
      </c>
    </row>
    <row r="36" spans="1:4" s="7" customFormat="1" ht="14.25" customHeight="1">
      <c r="A36" s="4"/>
      <c r="B36" s="10" t="s">
        <v>72</v>
      </c>
      <c r="C36" s="5" t="s">
        <v>65</v>
      </c>
      <c r="D36" s="11">
        <f>93387/12/6907</f>
        <v>1.1267192703054871</v>
      </c>
    </row>
    <row r="37" spans="1:4" s="7" customFormat="1" ht="14.25" customHeight="1">
      <c r="A37" s="12"/>
      <c r="B37" s="5" t="s">
        <v>25</v>
      </c>
      <c r="C37" s="5"/>
      <c r="D37" s="4" t="s">
        <v>73</v>
      </c>
    </row>
    <row r="38" spans="1:4" s="7" customFormat="1" ht="14.25" customHeight="1">
      <c r="A38" s="4"/>
      <c r="B38" s="10" t="s">
        <v>74</v>
      </c>
      <c r="C38" s="5" t="s">
        <v>65</v>
      </c>
      <c r="D38" s="11">
        <f>25796/12/6907</f>
        <v>0.31123015298489454</v>
      </c>
    </row>
    <row r="39" spans="1:4" s="7" customFormat="1" ht="14.25" customHeight="1">
      <c r="A39" s="12"/>
      <c r="B39" s="5" t="s">
        <v>25</v>
      </c>
      <c r="C39" s="5"/>
      <c r="D39" s="4" t="s">
        <v>73</v>
      </c>
    </row>
    <row r="40" spans="1:4" s="7" customFormat="1" ht="25.5" customHeight="1">
      <c r="A40" s="4">
        <v>25</v>
      </c>
      <c r="B40" s="5" t="s">
        <v>89</v>
      </c>
      <c r="C40" s="5" t="s">
        <v>9</v>
      </c>
      <c r="D40" s="8">
        <v>58983</v>
      </c>
    </row>
    <row r="41" spans="1:4" s="7" customFormat="1" ht="27" customHeight="1">
      <c r="A41" s="4"/>
      <c r="B41" s="10" t="s">
        <v>91</v>
      </c>
      <c r="C41" s="5" t="s">
        <v>65</v>
      </c>
      <c r="D41" s="35">
        <f>D40/12/6907</f>
        <v>0.7116331258143912</v>
      </c>
    </row>
    <row r="42" spans="1:4" s="7" customFormat="1" ht="14.25" customHeight="1">
      <c r="A42" s="12"/>
      <c r="B42" s="5" t="s">
        <v>25</v>
      </c>
      <c r="C42" s="5"/>
      <c r="D42" s="4" t="s">
        <v>73</v>
      </c>
    </row>
    <row r="43" spans="1:4" s="7" customFormat="1" ht="54" customHeight="1">
      <c r="A43" s="4">
        <v>26</v>
      </c>
      <c r="B43" s="5" t="s">
        <v>77</v>
      </c>
      <c r="C43" s="5" t="s">
        <v>9</v>
      </c>
      <c r="D43" s="8">
        <v>443309</v>
      </c>
    </row>
    <row r="44" spans="1:4" s="7" customFormat="1" ht="14.25" customHeight="1">
      <c r="A44" s="4"/>
      <c r="B44" s="10" t="s">
        <v>105</v>
      </c>
      <c r="C44" s="5" t="s">
        <v>65</v>
      </c>
      <c r="D44" s="11">
        <f>D43/12/6907</f>
        <v>5.348547367405048</v>
      </c>
    </row>
    <row r="45" spans="1:4" s="7" customFormat="1" ht="14.25" customHeight="1">
      <c r="A45" s="12"/>
      <c r="B45" s="5" t="s">
        <v>25</v>
      </c>
      <c r="C45" s="5"/>
      <c r="D45" s="4" t="s">
        <v>68</v>
      </c>
    </row>
    <row r="46" spans="1:4" s="7" customFormat="1" ht="16.5" customHeight="1">
      <c r="A46" s="4">
        <v>27</v>
      </c>
      <c r="B46" s="5" t="s">
        <v>79</v>
      </c>
      <c r="C46" s="5" t="s">
        <v>9</v>
      </c>
      <c r="D46" s="8">
        <v>42380</v>
      </c>
    </row>
    <row r="47" spans="1:4" s="7" customFormat="1" ht="14.25" customHeight="1">
      <c r="A47" s="4"/>
      <c r="B47" s="10" t="s">
        <v>80</v>
      </c>
      <c r="C47" s="5" t="s">
        <v>65</v>
      </c>
      <c r="D47" s="11">
        <f>D46/12/6907</f>
        <v>0.511317021379277</v>
      </c>
    </row>
    <row r="48" spans="1:4" s="7" customFormat="1" ht="14.25" customHeight="1">
      <c r="A48" s="12"/>
      <c r="B48" s="5" t="s">
        <v>25</v>
      </c>
      <c r="C48" s="5"/>
      <c r="D48" s="4" t="s">
        <v>81</v>
      </c>
    </row>
    <row r="49" spans="1:4" s="7" customFormat="1" ht="29.25" customHeight="1">
      <c r="A49" s="4">
        <v>28</v>
      </c>
      <c r="B49" s="5" t="s">
        <v>82</v>
      </c>
      <c r="C49" s="5" t="s">
        <v>9</v>
      </c>
      <c r="D49" s="8">
        <v>242980</v>
      </c>
    </row>
    <row r="50" spans="1:4" s="7" customFormat="1" ht="14.25" customHeight="1">
      <c r="A50" s="4"/>
      <c r="B50" s="10" t="s">
        <v>83</v>
      </c>
      <c r="C50" s="5" t="s">
        <v>65</v>
      </c>
      <c r="D50" s="11">
        <f>D49/12/6907</f>
        <v>2.931567009314222</v>
      </c>
    </row>
    <row r="51" spans="1:4" s="7" customFormat="1" ht="14.25" customHeight="1">
      <c r="A51" s="12"/>
      <c r="B51" s="5" t="s">
        <v>25</v>
      </c>
      <c r="C51" s="5"/>
      <c r="D51" s="4" t="s">
        <v>68</v>
      </c>
    </row>
    <row r="52" spans="1:4" s="7" customFormat="1" ht="21.75" customHeight="1">
      <c r="A52" s="4">
        <v>29</v>
      </c>
      <c r="B52" s="5" t="s">
        <v>84</v>
      </c>
      <c r="C52" s="5" t="s">
        <v>9</v>
      </c>
      <c r="D52" s="8">
        <v>226045</v>
      </c>
    </row>
    <row r="53" spans="1:4" s="7" customFormat="1" ht="28.5" customHeight="1">
      <c r="A53" s="4"/>
      <c r="B53" s="10" t="s">
        <v>85</v>
      </c>
      <c r="C53" s="5" t="s">
        <v>65</v>
      </c>
      <c r="D53" s="11">
        <f>D52/12/6907</f>
        <v>2.727245306693692</v>
      </c>
    </row>
    <row r="54" spans="1:4" s="7" customFormat="1" ht="14.25" customHeight="1">
      <c r="A54" s="12"/>
      <c r="B54" s="5" t="s">
        <v>25</v>
      </c>
      <c r="C54" s="5"/>
      <c r="D54" s="4" t="s">
        <v>73</v>
      </c>
    </row>
    <row r="55" spans="1:4" s="7" customFormat="1" ht="29.25" customHeight="1">
      <c r="A55" s="4">
        <v>30</v>
      </c>
      <c r="B55" s="5" t="s">
        <v>86</v>
      </c>
      <c r="C55" s="5" t="s">
        <v>9</v>
      </c>
      <c r="D55" s="8">
        <f>36983+49735</f>
        <v>86718</v>
      </c>
    </row>
    <row r="56" spans="1:4" s="7" customFormat="1" ht="28.5" customHeight="1">
      <c r="A56" s="4"/>
      <c r="B56" s="10" t="s">
        <v>87</v>
      </c>
      <c r="C56" s="5" t="s">
        <v>65</v>
      </c>
      <c r="D56" s="11">
        <f>D55/12/6907</f>
        <v>1.046257420008687</v>
      </c>
    </row>
    <row r="57" spans="1:5" s="7" customFormat="1" ht="27.75" customHeight="1">
      <c r="A57" s="12"/>
      <c r="B57" s="5" t="s">
        <v>25</v>
      </c>
      <c r="C57" s="5"/>
      <c r="D57" s="4" t="s">
        <v>88</v>
      </c>
      <c r="E57" s="14">
        <f>D26+D29+D32+D35+D40+D43+D46+D49+D52+D55</f>
        <v>1621884</v>
      </c>
    </row>
    <row r="58" spans="1:4" s="7" customFormat="1" ht="16.5" customHeight="1">
      <c r="A58" s="36" t="s">
        <v>26</v>
      </c>
      <c r="B58" s="37"/>
      <c r="C58" s="37"/>
      <c r="D58" s="38"/>
    </row>
    <row r="59" spans="1:4" s="7" customFormat="1" ht="14.25" customHeight="1">
      <c r="A59" s="4">
        <f>A55+1</f>
        <v>31</v>
      </c>
      <c r="B59" s="5" t="s">
        <v>27</v>
      </c>
      <c r="C59" s="5" t="s">
        <v>28</v>
      </c>
      <c r="D59" s="4">
        <v>0</v>
      </c>
    </row>
    <row r="60" spans="1:4" s="7" customFormat="1" ht="14.25" customHeight="1">
      <c r="A60" s="4">
        <f>A59+1</f>
        <v>32</v>
      </c>
      <c r="B60" s="5" t="s">
        <v>29</v>
      </c>
      <c r="C60" s="5" t="s">
        <v>30</v>
      </c>
      <c r="D60" s="4">
        <v>0</v>
      </c>
    </row>
    <row r="61" spans="1:4" s="7" customFormat="1" ht="14.25" customHeight="1">
      <c r="A61" s="4">
        <f>A60+1</f>
        <v>33</v>
      </c>
      <c r="B61" s="5" t="s">
        <v>31</v>
      </c>
      <c r="C61" s="5" t="s">
        <v>28</v>
      </c>
      <c r="D61" s="4">
        <v>0</v>
      </c>
    </row>
    <row r="62" spans="1:4" s="7" customFormat="1" ht="14.25" customHeight="1">
      <c r="A62" s="4">
        <f>A61+1</f>
        <v>34</v>
      </c>
      <c r="B62" s="5" t="s">
        <v>32</v>
      </c>
      <c r="C62" s="5" t="s">
        <v>9</v>
      </c>
      <c r="D62" s="4">
        <v>0</v>
      </c>
    </row>
    <row r="63" spans="1:4" s="7" customFormat="1" ht="17.25" customHeight="1">
      <c r="A63" s="36" t="s">
        <v>33</v>
      </c>
      <c r="B63" s="37"/>
      <c r="C63" s="37"/>
      <c r="D63" s="38"/>
    </row>
    <row r="64" spans="1:4" s="7" customFormat="1" ht="25.5">
      <c r="A64" s="4">
        <f>A62+1</f>
        <v>35</v>
      </c>
      <c r="B64" s="5" t="s">
        <v>34</v>
      </c>
      <c r="C64" s="5" t="s">
        <v>9</v>
      </c>
      <c r="D64" s="8">
        <f>D66-D65</f>
        <v>263715.99</v>
      </c>
    </row>
    <row r="65" spans="1:4" s="7" customFormat="1" ht="15" customHeight="1">
      <c r="A65" s="4">
        <f>A64+1</f>
        <v>36</v>
      </c>
      <c r="B65" s="5" t="s">
        <v>10</v>
      </c>
      <c r="C65" s="5" t="s">
        <v>9</v>
      </c>
      <c r="D65" s="8">
        <f>801.15+714.95+815.64+45.07+222.71</f>
        <v>2599.52</v>
      </c>
    </row>
    <row r="66" spans="1:4" s="7" customFormat="1" ht="15" customHeight="1">
      <c r="A66" s="4">
        <f>A65+1</f>
        <v>37</v>
      </c>
      <c r="B66" s="5" t="s">
        <v>11</v>
      </c>
      <c r="C66" s="5" t="s">
        <v>9</v>
      </c>
      <c r="D66" s="8">
        <f>113264.06+31201.85+23582.91+22527.73+77385.3-1646.34</f>
        <v>266315.51</v>
      </c>
    </row>
    <row r="67" spans="1:4" s="7" customFormat="1" ht="25.5">
      <c r="A67" s="4">
        <f>A66+1</f>
        <v>38</v>
      </c>
      <c r="B67" s="5" t="s">
        <v>35</v>
      </c>
      <c r="C67" s="5" t="s">
        <v>9</v>
      </c>
      <c r="D67" s="8">
        <f>D69-D68</f>
        <v>295774.32999999996</v>
      </c>
    </row>
    <row r="68" spans="1:4" s="7" customFormat="1" ht="13.5" customHeight="1">
      <c r="A68" s="4">
        <f>A67+1</f>
        <v>39</v>
      </c>
      <c r="B68" s="5" t="s">
        <v>10</v>
      </c>
      <c r="C68" s="5" t="s">
        <v>9</v>
      </c>
      <c r="D68" s="8">
        <f>2608.7+842.55+970.42+460.4+371.96</f>
        <v>5254.03</v>
      </c>
    </row>
    <row r="69" spans="1:4" s="7" customFormat="1" ht="13.5" customHeight="1">
      <c r="A69" s="4">
        <f>A68+1</f>
        <v>40</v>
      </c>
      <c r="B69" s="5" t="s">
        <v>11</v>
      </c>
      <c r="C69" s="5" t="s">
        <v>9</v>
      </c>
      <c r="D69" s="8">
        <f>117893.69+39680.87+32515.85+37031.45+73906.5</f>
        <v>301028.36</v>
      </c>
    </row>
    <row r="70" spans="1:4" s="7" customFormat="1" ht="18" customHeight="1">
      <c r="A70" s="36" t="s">
        <v>52</v>
      </c>
      <c r="B70" s="37"/>
      <c r="C70" s="37"/>
      <c r="D70" s="38"/>
    </row>
    <row r="71" spans="1:4" s="7" customFormat="1" ht="12.75">
      <c r="A71" s="4">
        <f>A69+1</f>
        <v>41</v>
      </c>
      <c r="B71" s="5" t="s">
        <v>36</v>
      </c>
      <c r="C71" s="5"/>
      <c r="D71" s="15" t="s">
        <v>53</v>
      </c>
    </row>
    <row r="72" spans="1:4" s="7" customFormat="1" ht="12.75">
      <c r="A72" s="4">
        <f>A71+1</f>
        <v>42</v>
      </c>
      <c r="B72" s="5" t="s">
        <v>37</v>
      </c>
      <c r="C72" s="5"/>
      <c r="D72" s="4" t="s">
        <v>59</v>
      </c>
    </row>
    <row r="73" spans="1:4" s="7" customFormat="1" ht="12.75">
      <c r="A73" s="4">
        <f aca="true" t="shared" si="0" ref="A73:A120">A72+1</f>
        <v>43</v>
      </c>
      <c r="B73" s="5" t="s">
        <v>38</v>
      </c>
      <c r="C73" s="5" t="s">
        <v>39</v>
      </c>
      <c r="D73" s="4">
        <f>(55.25-21.437+13.604+14.36+41.761+12.819+13.16+12.053+12.44+14.325+14.68+11.643+11.44+7.2+7.95+11.19+11.48+11.219+11.4+13.992+13.52+15.543+15+14.061+14.04)*1000</f>
        <v>352693</v>
      </c>
    </row>
    <row r="74" spans="1:4" s="7" customFormat="1" ht="12.75">
      <c r="A74" s="4">
        <f t="shared" si="0"/>
        <v>44</v>
      </c>
      <c r="B74" s="5" t="s">
        <v>40</v>
      </c>
      <c r="C74" s="5" t="s">
        <v>9</v>
      </c>
      <c r="D74" s="8">
        <v>695559.83</v>
      </c>
    </row>
    <row r="75" spans="1:4" s="7" customFormat="1" ht="12.75">
      <c r="A75" s="4">
        <f t="shared" si="0"/>
        <v>45</v>
      </c>
      <c r="B75" s="5" t="s">
        <v>41</v>
      </c>
      <c r="C75" s="5" t="s">
        <v>9</v>
      </c>
      <c r="D75" s="8">
        <v>699187.88</v>
      </c>
    </row>
    <row r="76" spans="1:4" s="7" customFormat="1" ht="12.75">
      <c r="A76" s="4">
        <f t="shared" si="0"/>
        <v>46</v>
      </c>
      <c r="B76" s="5" t="s">
        <v>42</v>
      </c>
      <c r="C76" s="5" t="s">
        <v>9</v>
      </c>
      <c r="D76" s="8">
        <f>D74-D75</f>
        <v>-3628.0500000000466</v>
      </c>
    </row>
    <row r="77" spans="1:4" s="18" customFormat="1" ht="12.75">
      <c r="A77" s="4">
        <f t="shared" si="0"/>
        <v>47</v>
      </c>
      <c r="B77" s="16" t="s">
        <v>43</v>
      </c>
      <c r="C77" s="16" t="s">
        <v>9</v>
      </c>
      <c r="D77" s="17">
        <v>656415.98</v>
      </c>
    </row>
    <row r="78" spans="1:4" s="18" customFormat="1" ht="12.75">
      <c r="A78" s="4">
        <f t="shared" si="0"/>
        <v>48</v>
      </c>
      <c r="B78" s="16" t="s">
        <v>44</v>
      </c>
      <c r="C78" s="16" t="s">
        <v>9</v>
      </c>
      <c r="D78" s="17">
        <v>660952</v>
      </c>
    </row>
    <row r="79" spans="1:4" s="18" customFormat="1" ht="12.75">
      <c r="A79" s="4">
        <f t="shared" si="0"/>
        <v>49</v>
      </c>
      <c r="B79" s="16" t="s">
        <v>45</v>
      </c>
      <c r="C79" s="16" t="s">
        <v>9</v>
      </c>
      <c r="D79" s="17">
        <f>D78-D77</f>
        <v>4536.020000000019</v>
      </c>
    </row>
    <row r="80" spans="1:4" s="18" customFormat="1" ht="25.5">
      <c r="A80" s="4">
        <f t="shared" si="0"/>
        <v>50</v>
      </c>
      <c r="B80" s="16" t="s">
        <v>46</v>
      </c>
      <c r="C80" s="16" t="s">
        <v>9</v>
      </c>
      <c r="D80" s="19">
        <v>0</v>
      </c>
    </row>
    <row r="81" spans="1:4" s="7" customFormat="1" ht="24">
      <c r="A81" s="4">
        <f t="shared" si="0"/>
        <v>51</v>
      </c>
      <c r="B81" s="5" t="s">
        <v>36</v>
      </c>
      <c r="C81" s="5"/>
      <c r="D81" s="15" t="s">
        <v>54</v>
      </c>
    </row>
    <row r="82" spans="1:4" s="7" customFormat="1" ht="12.75">
      <c r="A82" s="4">
        <f t="shared" si="0"/>
        <v>52</v>
      </c>
      <c r="B82" s="5" t="s">
        <v>37</v>
      </c>
      <c r="C82" s="5"/>
      <c r="D82" s="4" t="s">
        <v>60</v>
      </c>
    </row>
    <row r="83" spans="1:4" s="7" customFormat="1" ht="12.75">
      <c r="A83" s="4">
        <f t="shared" si="0"/>
        <v>53</v>
      </c>
      <c r="B83" s="5" t="s">
        <v>38</v>
      </c>
      <c r="C83" s="5" t="s">
        <v>39</v>
      </c>
      <c r="D83" s="4">
        <f>30.922+42.073+663.67+683.29+24.44+653.441+8.269+600.024+50.532+636.233+26.556+646.079+40.773+577.988+54.001+603.856+46+581.535+23.135+627.169+61.465+659.904+51.5+584.289</f>
        <v>7977.144000000001</v>
      </c>
    </row>
    <row r="84" spans="1:4" s="7" customFormat="1" ht="12.75">
      <c r="A84" s="4">
        <f t="shared" si="0"/>
        <v>54</v>
      </c>
      <c r="B84" s="5" t="s">
        <v>40</v>
      </c>
      <c r="C84" s="5" t="s">
        <v>9</v>
      </c>
      <c r="D84" s="8">
        <v>338209.83</v>
      </c>
    </row>
    <row r="85" spans="1:4" s="7" customFormat="1" ht="12.75">
      <c r="A85" s="4">
        <f t="shared" si="0"/>
        <v>55</v>
      </c>
      <c r="B85" s="5" t="s">
        <v>41</v>
      </c>
      <c r="C85" s="5" t="s">
        <v>9</v>
      </c>
      <c r="D85" s="8">
        <v>329858.41</v>
      </c>
    </row>
    <row r="86" spans="1:4" s="7" customFormat="1" ht="12.75">
      <c r="A86" s="4">
        <f t="shared" si="0"/>
        <v>56</v>
      </c>
      <c r="B86" s="5" t="s">
        <v>42</v>
      </c>
      <c r="C86" s="5" t="s">
        <v>9</v>
      </c>
      <c r="D86" s="8">
        <f>D84-D85</f>
        <v>8351.420000000042</v>
      </c>
    </row>
    <row r="87" spans="1:4" s="18" customFormat="1" ht="12.75">
      <c r="A87" s="4">
        <f t="shared" si="0"/>
        <v>57</v>
      </c>
      <c r="B87" s="16" t="s">
        <v>43</v>
      </c>
      <c r="C87" s="16" t="s">
        <v>9</v>
      </c>
      <c r="D87" s="17">
        <f>350872.91</f>
        <v>350872.91</v>
      </c>
    </row>
    <row r="88" spans="1:4" s="18" customFormat="1" ht="12.75">
      <c r="A88" s="4">
        <f t="shared" si="0"/>
        <v>58</v>
      </c>
      <c r="B88" s="16" t="s">
        <v>44</v>
      </c>
      <c r="C88" s="16" t="s">
        <v>9</v>
      </c>
      <c r="D88" s="17">
        <v>360324</v>
      </c>
    </row>
    <row r="89" spans="1:4" s="18" customFormat="1" ht="12.75">
      <c r="A89" s="4">
        <f t="shared" si="0"/>
        <v>59</v>
      </c>
      <c r="B89" s="16" t="s">
        <v>45</v>
      </c>
      <c r="C89" s="16" t="s">
        <v>9</v>
      </c>
      <c r="D89" s="17">
        <f>D88-D87</f>
        <v>9451.090000000026</v>
      </c>
    </row>
    <row r="90" spans="1:4" s="18" customFormat="1" ht="25.5">
      <c r="A90" s="4">
        <f t="shared" si="0"/>
        <v>60</v>
      </c>
      <c r="B90" s="16" t="s">
        <v>46</v>
      </c>
      <c r="C90" s="16" t="s">
        <v>9</v>
      </c>
      <c r="D90" s="19">
        <v>0</v>
      </c>
    </row>
    <row r="91" spans="1:4" s="7" customFormat="1" ht="25.5">
      <c r="A91" s="4">
        <f t="shared" si="0"/>
        <v>61</v>
      </c>
      <c r="B91" s="5" t="s">
        <v>36</v>
      </c>
      <c r="C91" s="5"/>
      <c r="D91" s="20" t="s">
        <v>55</v>
      </c>
    </row>
    <row r="92" spans="1:4" s="7" customFormat="1" ht="12.75">
      <c r="A92" s="4">
        <f t="shared" si="0"/>
        <v>62</v>
      </c>
      <c r="B92" s="5" t="s">
        <v>37</v>
      </c>
      <c r="C92" s="5"/>
      <c r="D92" s="4" t="s">
        <v>60</v>
      </c>
    </row>
    <row r="93" spans="1:4" s="7" customFormat="1" ht="12.75">
      <c r="A93" s="4">
        <f t="shared" si="0"/>
        <v>63</v>
      </c>
      <c r="B93" s="5" t="s">
        <v>38</v>
      </c>
      <c r="C93" s="5" t="s">
        <v>39</v>
      </c>
      <c r="D93" s="4">
        <v>8642</v>
      </c>
    </row>
    <row r="94" spans="1:4" s="7" customFormat="1" ht="12.75">
      <c r="A94" s="4">
        <f t="shared" si="0"/>
        <v>64</v>
      </c>
      <c r="B94" s="5" t="s">
        <v>40</v>
      </c>
      <c r="C94" s="5" t="s">
        <v>9</v>
      </c>
      <c r="D94" s="8">
        <v>235892.83</v>
      </c>
    </row>
    <row r="95" spans="1:4" s="7" customFormat="1" ht="12.75">
      <c r="A95" s="4">
        <f t="shared" si="0"/>
        <v>65</v>
      </c>
      <c r="B95" s="5" t="s">
        <v>41</v>
      </c>
      <c r="C95" s="5" t="s">
        <v>9</v>
      </c>
      <c r="D95" s="8">
        <v>221804.44</v>
      </c>
    </row>
    <row r="96" spans="1:4" s="7" customFormat="1" ht="12.75">
      <c r="A96" s="4">
        <f t="shared" si="0"/>
        <v>66</v>
      </c>
      <c r="B96" s="5" t="s">
        <v>42</v>
      </c>
      <c r="C96" s="5" t="s">
        <v>9</v>
      </c>
      <c r="D96" s="8">
        <f>D94-D95</f>
        <v>14088.389999999985</v>
      </c>
    </row>
    <row r="97" spans="1:4" s="18" customFormat="1" ht="12.75">
      <c r="A97" s="4">
        <f t="shared" si="0"/>
        <v>67</v>
      </c>
      <c r="B97" s="16" t="s">
        <v>43</v>
      </c>
      <c r="C97" s="16" t="s">
        <v>9</v>
      </c>
      <c r="D97" s="17">
        <v>286409.26</v>
      </c>
    </row>
    <row r="98" spans="1:4" s="18" customFormat="1" ht="12.75">
      <c r="A98" s="4">
        <f t="shared" si="0"/>
        <v>68</v>
      </c>
      <c r="B98" s="16" t="s">
        <v>44</v>
      </c>
      <c r="C98" s="16" t="s">
        <v>9</v>
      </c>
      <c r="D98" s="17">
        <v>272367</v>
      </c>
    </row>
    <row r="99" spans="1:4" s="18" customFormat="1" ht="12.75">
      <c r="A99" s="4">
        <f t="shared" si="0"/>
        <v>69</v>
      </c>
      <c r="B99" s="16" t="s">
        <v>45</v>
      </c>
      <c r="C99" s="16" t="s">
        <v>9</v>
      </c>
      <c r="D99" s="17">
        <f>D98-D97</f>
        <v>-14042.26000000001</v>
      </c>
    </row>
    <row r="100" spans="1:4" s="18" customFormat="1" ht="25.5">
      <c r="A100" s="4">
        <f t="shared" si="0"/>
        <v>70</v>
      </c>
      <c r="B100" s="16" t="s">
        <v>46</v>
      </c>
      <c r="C100" s="16" t="s">
        <v>9</v>
      </c>
      <c r="D100" s="19">
        <v>0</v>
      </c>
    </row>
    <row r="101" spans="1:4" s="7" customFormat="1" ht="24">
      <c r="A101" s="4">
        <f t="shared" si="0"/>
        <v>71</v>
      </c>
      <c r="B101" s="5" t="s">
        <v>36</v>
      </c>
      <c r="C101" s="5"/>
      <c r="D101" s="15" t="s">
        <v>58</v>
      </c>
    </row>
    <row r="102" spans="1:4" s="7" customFormat="1" ht="12.75">
      <c r="A102" s="4">
        <f t="shared" si="0"/>
        <v>72</v>
      </c>
      <c r="B102" s="5" t="s">
        <v>37</v>
      </c>
      <c r="C102" s="5"/>
      <c r="D102" s="4" t="s">
        <v>61</v>
      </c>
    </row>
    <row r="103" spans="1:4" s="7" customFormat="1" ht="12.75">
      <c r="A103" s="4">
        <f t="shared" si="0"/>
        <v>73</v>
      </c>
      <c r="B103" s="5" t="s">
        <v>38</v>
      </c>
      <c r="C103" s="5" t="s">
        <v>39</v>
      </c>
      <c r="D103" s="4">
        <v>1500</v>
      </c>
    </row>
    <row r="104" spans="1:4" s="7" customFormat="1" ht="12.75">
      <c r="A104" s="4">
        <f t="shared" si="0"/>
        <v>74</v>
      </c>
      <c r="B104" s="5" t="s">
        <v>40</v>
      </c>
      <c r="C104" s="5" t="s">
        <v>9</v>
      </c>
      <c r="D104" s="8">
        <v>786907.77</v>
      </c>
    </row>
    <row r="105" spans="1:4" s="7" customFormat="1" ht="12.75">
      <c r="A105" s="4">
        <f t="shared" si="0"/>
        <v>75</v>
      </c>
      <c r="B105" s="5" t="s">
        <v>41</v>
      </c>
      <c r="C105" s="5" t="s">
        <v>9</v>
      </c>
      <c r="D105" s="8">
        <v>784085.69</v>
      </c>
    </row>
    <row r="106" spans="1:4" s="7" customFormat="1" ht="12.75">
      <c r="A106" s="4">
        <f t="shared" si="0"/>
        <v>76</v>
      </c>
      <c r="B106" s="5" t="s">
        <v>42</v>
      </c>
      <c r="C106" s="5" t="s">
        <v>9</v>
      </c>
      <c r="D106" s="8">
        <f>D104-D105</f>
        <v>2822.0800000000745</v>
      </c>
    </row>
    <row r="107" spans="1:4" s="18" customFormat="1" ht="12.75">
      <c r="A107" s="4">
        <f t="shared" si="0"/>
        <v>77</v>
      </c>
      <c r="B107" s="16" t="s">
        <v>43</v>
      </c>
      <c r="C107" s="16" t="s">
        <v>9</v>
      </c>
      <c r="D107" s="17">
        <v>1073176.79</v>
      </c>
    </row>
    <row r="108" spans="1:4" s="18" customFormat="1" ht="12.75">
      <c r="A108" s="4">
        <f t="shared" si="0"/>
        <v>78</v>
      </c>
      <c r="B108" s="16" t="s">
        <v>44</v>
      </c>
      <c r="C108" s="16" t="s">
        <v>9</v>
      </c>
      <c r="D108" s="17">
        <v>1020838</v>
      </c>
    </row>
    <row r="109" spans="1:4" s="18" customFormat="1" ht="12.75">
      <c r="A109" s="4">
        <f t="shared" si="0"/>
        <v>79</v>
      </c>
      <c r="B109" s="16" t="s">
        <v>45</v>
      </c>
      <c r="C109" s="16" t="s">
        <v>9</v>
      </c>
      <c r="D109" s="17">
        <f>D108-D107</f>
        <v>-52338.79000000004</v>
      </c>
    </row>
    <row r="110" spans="1:4" s="18" customFormat="1" ht="25.5">
      <c r="A110" s="4">
        <f t="shared" si="0"/>
        <v>80</v>
      </c>
      <c r="B110" s="16" t="s">
        <v>46</v>
      </c>
      <c r="C110" s="16" t="s">
        <v>9</v>
      </c>
      <c r="D110" s="19">
        <v>0</v>
      </c>
    </row>
    <row r="111" spans="1:4" s="7" customFormat="1" ht="12.75">
      <c r="A111" s="4">
        <f t="shared" si="0"/>
        <v>81</v>
      </c>
      <c r="B111" s="5" t="s">
        <v>36</v>
      </c>
      <c r="C111" s="5"/>
      <c r="D111" s="20" t="s">
        <v>56</v>
      </c>
    </row>
    <row r="112" spans="1:4" s="7" customFormat="1" ht="12.75">
      <c r="A112" s="4">
        <f t="shared" si="0"/>
        <v>82</v>
      </c>
      <c r="B112" s="5" t="s">
        <v>37</v>
      </c>
      <c r="C112" s="5"/>
      <c r="D112" s="4" t="s">
        <v>60</v>
      </c>
    </row>
    <row r="113" spans="1:4" s="7" customFormat="1" ht="12.75">
      <c r="A113" s="4">
        <f t="shared" si="0"/>
        <v>83</v>
      </c>
      <c r="B113" s="5" t="s">
        <v>38</v>
      </c>
      <c r="C113" s="5" t="s">
        <v>39</v>
      </c>
      <c r="D113" s="4">
        <f>47.189+66.915+992.63+998.886+36.367+984.056+18.621+963.4+89.487+966.995+35.35+916.274+60.197+813.337+83.002+804.029+73+901.969+37.174+872.568+102.126+951.366+84.695+878.927</f>
        <v>11778.560000000001</v>
      </c>
    </row>
    <row r="114" spans="1:4" s="7" customFormat="1" ht="12.75">
      <c r="A114" s="4">
        <f t="shared" si="0"/>
        <v>84</v>
      </c>
      <c r="B114" s="5" t="s">
        <v>40</v>
      </c>
      <c r="C114" s="5" t="s">
        <v>9</v>
      </c>
      <c r="D114" s="8">
        <v>253042.67</v>
      </c>
    </row>
    <row r="115" spans="1:4" s="7" customFormat="1" ht="12.75">
      <c r="A115" s="4">
        <f t="shared" si="0"/>
        <v>85</v>
      </c>
      <c r="B115" s="5" t="s">
        <v>41</v>
      </c>
      <c r="C115" s="5" t="s">
        <v>9</v>
      </c>
      <c r="D115" s="8">
        <v>244264.51</v>
      </c>
    </row>
    <row r="116" spans="1:4" s="7" customFormat="1" ht="12.75">
      <c r="A116" s="4">
        <f t="shared" si="0"/>
        <v>86</v>
      </c>
      <c r="B116" s="5" t="s">
        <v>42</v>
      </c>
      <c r="C116" s="5" t="s">
        <v>9</v>
      </c>
      <c r="D116" s="8">
        <f>D114-D115</f>
        <v>8778.160000000003</v>
      </c>
    </row>
    <row r="117" spans="1:4" s="18" customFormat="1" ht="12.75">
      <c r="A117" s="4">
        <f t="shared" si="0"/>
        <v>87</v>
      </c>
      <c r="B117" s="16" t="s">
        <v>43</v>
      </c>
      <c r="C117" s="16" t="s">
        <v>9</v>
      </c>
      <c r="D117" s="17">
        <v>253802.09</v>
      </c>
    </row>
    <row r="118" spans="1:4" s="18" customFormat="1" ht="12.75">
      <c r="A118" s="4">
        <f t="shared" si="0"/>
        <v>88</v>
      </c>
      <c r="B118" s="16" t="s">
        <v>44</v>
      </c>
      <c r="C118" s="16" t="s">
        <v>9</v>
      </c>
      <c r="D118" s="17">
        <v>359236</v>
      </c>
    </row>
    <row r="119" spans="1:4" s="18" customFormat="1" ht="12.75">
      <c r="A119" s="4">
        <f t="shared" si="0"/>
        <v>89</v>
      </c>
      <c r="B119" s="16" t="s">
        <v>45</v>
      </c>
      <c r="C119" s="16" t="s">
        <v>9</v>
      </c>
      <c r="D119" s="17">
        <f>D118-D117</f>
        <v>105433.91</v>
      </c>
    </row>
    <row r="120" spans="1:4" s="18" customFormat="1" ht="25.5">
      <c r="A120" s="4">
        <f t="shared" si="0"/>
        <v>90</v>
      </c>
      <c r="B120" s="16" t="s">
        <v>46</v>
      </c>
      <c r="C120" s="16" t="s">
        <v>9</v>
      </c>
      <c r="D120" s="19">
        <v>0</v>
      </c>
    </row>
    <row r="121" spans="1:4" s="18" customFormat="1" ht="16.5" customHeight="1">
      <c r="A121" s="36" t="s">
        <v>47</v>
      </c>
      <c r="B121" s="37"/>
      <c r="C121" s="37"/>
      <c r="D121" s="38"/>
    </row>
    <row r="122" spans="1:4" s="18" customFormat="1" ht="12.75">
      <c r="A122" s="4">
        <v>91</v>
      </c>
      <c r="B122" s="16" t="s">
        <v>27</v>
      </c>
      <c r="C122" s="16" t="s">
        <v>28</v>
      </c>
      <c r="D122" s="17">
        <v>3</v>
      </c>
    </row>
    <row r="123" spans="1:4" s="18" customFormat="1" ht="12.75">
      <c r="A123" s="4">
        <v>92</v>
      </c>
      <c r="B123" s="16" t="s">
        <v>29</v>
      </c>
      <c r="C123" s="16" t="s">
        <v>28</v>
      </c>
      <c r="D123" s="17">
        <v>3</v>
      </c>
    </row>
    <row r="124" spans="1:4" s="18" customFormat="1" ht="12.75">
      <c r="A124" s="4">
        <v>93</v>
      </c>
      <c r="B124" s="16" t="s">
        <v>31</v>
      </c>
      <c r="C124" s="16"/>
      <c r="D124" s="17">
        <v>0</v>
      </c>
    </row>
    <row r="125" spans="1:4" s="18" customFormat="1" ht="12.75">
      <c r="A125" s="4">
        <v>94</v>
      </c>
      <c r="B125" s="16" t="s">
        <v>32</v>
      </c>
      <c r="C125" s="16" t="s">
        <v>9</v>
      </c>
      <c r="D125" s="17">
        <v>26631</v>
      </c>
    </row>
    <row r="126" spans="1:4" s="18" customFormat="1" ht="21" customHeight="1">
      <c r="A126" s="36" t="s">
        <v>48</v>
      </c>
      <c r="B126" s="37"/>
      <c r="C126" s="37"/>
      <c r="D126" s="38"/>
    </row>
    <row r="127" spans="1:4" s="18" customFormat="1" ht="12.75">
      <c r="A127" s="4">
        <v>95</v>
      </c>
      <c r="B127" s="16" t="s">
        <v>49</v>
      </c>
      <c r="C127" s="16" t="s">
        <v>28</v>
      </c>
      <c r="D127" s="17">
        <v>0</v>
      </c>
    </row>
    <row r="128" spans="1:4" s="18" customFormat="1" ht="12.75">
      <c r="A128" s="4">
        <v>96</v>
      </c>
      <c r="B128" s="16" t="s">
        <v>50</v>
      </c>
      <c r="C128" s="16" t="s">
        <v>28</v>
      </c>
      <c r="D128" s="17">
        <v>0</v>
      </c>
    </row>
    <row r="129" spans="1:4" s="18" customFormat="1" ht="25.5">
      <c r="A129" s="4">
        <v>97</v>
      </c>
      <c r="B129" s="16" t="s">
        <v>51</v>
      </c>
      <c r="C129" s="16" t="s">
        <v>9</v>
      </c>
      <c r="D129" s="17">
        <v>0</v>
      </c>
    </row>
    <row r="130" spans="1:4" s="18" customFormat="1" ht="12.75">
      <c r="A130" s="21"/>
      <c r="B130" s="22"/>
      <c r="C130" s="22"/>
      <c r="D130" s="22"/>
    </row>
    <row r="131" spans="1:4" ht="15">
      <c r="A131" s="23"/>
      <c r="B131" s="24"/>
      <c r="C131" s="24"/>
      <c r="D131" s="24"/>
    </row>
    <row r="132" spans="1:4" ht="15">
      <c r="A132" s="23"/>
      <c r="B132" s="24"/>
      <c r="C132" s="24"/>
      <c r="D132" s="24"/>
    </row>
    <row r="133" spans="1:4" ht="15">
      <c r="A133" s="23"/>
      <c r="B133" s="24"/>
      <c r="C133" s="24"/>
      <c r="D133" s="24"/>
    </row>
    <row r="134" spans="1:4" ht="15">
      <c r="A134" s="23"/>
      <c r="B134" s="24"/>
      <c r="C134" s="24"/>
      <c r="D134" s="24"/>
    </row>
    <row r="135" spans="1:4" ht="15">
      <c r="A135" s="23"/>
      <c r="B135" s="24"/>
      <c r="C135" s="24"/>
      <c r="D135" s="24"/>
    </row>
    <row r="136" spans="1:4" ht="15">
      <c r="A136" s="23"/>
      <c r="B136" s="24"/>
      <c r="C136" s="24"/>
      <c r="D136" s="24"/>
    </row>
    <row r="137" spans="1:4" ht="15">
      <c r="A137" s="23"/>
      <c r="B137" s="24"/>
      <c r="C137" s="24"/>
      <c r="D137" s="24"/>
    </row>
    <row r="138" spans="1:4" ht="15">
      <c r="A138" s="23"/>
      <c r="B138" s="24"/>
      <c r="C138" s="24"/>
      <c r="D138" s="24"/>
    </row>
    <row r="139" spans="1:4" ht="15">
      <c r="A139" s="23"/>
      <c r="B139" s="24"/>
      <c r="C139" s="24"/>
      <c r="D139" s="24"/>
    </row>
    <row r="140" spans="1:4" ht="15">
      <c r="A140" s="23"/>
      <c r="B140" s="24"/>
      <c r="C140" s="24"/>
      <c r="D140" s="24"/>
    </row>
    <row r="141" spans="1:4" ht="15">
      <c r="A141" s="23"/>
      <c r="B141" s="24"/>
      <c r="C141" s="24"/>
      <c r="D141" s="24"/>
    </row>
    <row r="142" spans="1:4" ht="15">
      <c r="A142" s="23"/>
      <c r="B142" s="24"/>
      <c r="C142" s="24"/>
      <c r="D142" s="24"/>
    </row>
    <row r="143" spans="1:4" ht="15">
      <c r="A143" s="23"/>
      <c r="B143" s="24"/>
      <c r="C143" s="24"/>
      <c r="D143" s="24"/>
    </row>
    <row r="144" spans="1:4" ht="15">
      <c r="A144" s="23"/>
      <c r="B144" s="24"/>
      <c r="C144" s="24"/>
      <c r="D144" s="24"/>
    </row>
    <row r="145" spans="1:4" ht="15">
      <c r="A145" s="23"/>
      <c r="B145" s="24"/>
      <c r="C145" s="24"/>
      <c r="D145" s="24"/>
    </row>
    <row r="146" spans="1:4" ht="15">
      <c r="A146" s="23"/>
      <c r="B146" s="24"/>
      <c r="C146" s="24"/>
      <c r="D146" s="24"/>
    </row>
    <row r="147" spans="1:4" ht="15">
      <c r="A147" s="23"/>
      <c r="B147" s="24"/>
      <c r="C147" s="24"/>
      <c r="D147" s="24"/>
    </row>
    <row r="148" spans="1:4" ht="15">
      <c r="A148" s="23"/>
      <c r="B148" s="24"/>
      <c r="C148" s="24"/>
      <c r="D148" s="24"/>
    </row>
    <row r="149" spans="1:4" ht="15">
      <c r="A149" s="23"/>
      <c r="B149" s="24"/>
      <c r="C149" s="24"/>
      <c r="D149" s="24"/>
    </row>
    <row r="150" spans="1:4" ht="15">
      <c r="A150" s="23"/>
      <c r="B150" s="24"/>
      <c r="C150" s="24"/>
      <c r="D150" s="24"/>
    </row>
    <row r="151" spans="1:4" ht="15">
      <c r="A151" s="23"/>
      <c r="B151" s="24"/>
      <c r="C151" s="24"/>
      <c r="D151" s="24"/>
    </row>
    <row r="152" spans="1:4" ht="15">
      <c r="A152" s="23"/>
      <c r="B152" s="24"/>
      <c r="C152" s="24"/>
      <c r="D152" s="24"/>
    </row>
    <row r="153" spans="1:4" ht="15">
      <c r="A153" s="23"/>
      <c r="B153" s="24"/>
      <c r="C153" s="24"/>
      <c r="D153" s="24"/>
    </row>
    <row r="154" spans="1:4" ht="15">
      <c r="A154" s="23"/>
      <c r="B154" s="24"/>
      <c r="C154" s="24"/>
      <c r="D154" s="24"/>
    </row>
    <row r="155" spans="1:4" ht="15">
      <c r="A155" s="23"/>
      <c r="B155" s="24"/>
      <c r="C155" s="24"/>
      <c r="D155" s="24"/>
    </row>
    <row r="156" spans="1:4" ht="15">
      <c r="A156" s="23"/>
      <c r="B156" s="24"/>
      <c r="C156" s="24"/>
      <c r="D156" s="24"/>
    </row>
    <row r="157" spans="1:4" ht="15">
      <c r="A157" s="23"/>
      <c r="B157" s="24"/>
      <c r="C157" s="24"/>
      <c r="D157" s="24"/>
    </row>
  </sheetData>
  <sheetProtection/>
  <mergeCells count="8">
    <mergeCell ref="A121:D121"/>
    <mergeCell ref="A126:D126"/>
    <mergeCell ref="A1:D1"/>
    <mergeCell ref="A7:D7"/>
    <mergeCell ref="A25:D25"/>
    <mergeCell ref="A58:D58"/>
    <mergeCell ref="A63:D63"/>
    <mergeCell ref="A70:D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7"/>
  <sheetViews>
    <sheetView zoomScalePageLayoutView="0" workbookViewId="0" topLeftCell="A37">
      <selection activeCell="D48" sqref="D48"/>
    </sheetView>
  </sheetViews>
  <sheetFormatPr defaultColWidth="9.140625" defaultRowHeight="15"/>
  <cols>
    <col min="1" max="1" width="6.28125" style="25" customWidth="1"/>
    <col min="2" max="2" width="54.2812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2.25" customHeight="1">
      <c r="A1" s="39" t="s">
        <v>96</v>
      </c>
      <c r="B1" s="39"/>
      <c r="C1" s="39"/>
      <c r="D1" s="39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2.75">
      <c r="A4" s="4">
        <v>1</v>
      </c>
      <c r="B4" s="5" t="s">
        <v>4</v>
      </c>
      <c r="C4" s="4" t="s">
        <v>57</v>
      </c>
      <c r="D4" s="6">
        <v>42825</v>
      </c>
    </row>
    <row r="5" spans="1:4" s="7" customFormat="1" ht="12.75">
      <c r="A5" s="4">
        <v>2</v>
      </c>
      <c r="B5" s="5" t="s">
        <v>5</v>
      </c>
      <c r="C5" s="4" t="s">
        <v>57</v>
      </c>
      <c r="D5" s="6">
        <v>42370</v>
      </c>
    </row>
    <row r="6" spans="1:4" s="7" customFormat="1" ht="12.75">
      <c r="A6" s="4">
        <v>3</v>
      </c>
      <c r="B6" s="5" t="s">
        <v>6</v>
      </c>
      <c r="C6" s="4" t="s">
        <v>57</v>
      </c>
      <c r="D6" s="6">
        <v>42735</v>
      </c>
    </row>
    <row r="7" spans="1:4" s="7" customFormat="1" ht="27.75" customHeight="1">
      <c r="A7" s="36" t="s">
        <v>7</v>
      </c>
      <c r="B7" s="37"/>
      <c r="C7" s="37"/>
      <c r="D7" s="38"/>
    </row>
    <row r="8" spans="1:4" s="7" customFormat="1" ht="12.75">
      <c r="A8" s="4">
        <v>4</v>
      </c>
      <c r="B8" s="5" t="s">
        <v>8</v>
      </c>
      <c r="C8" s="5" t="s">
        <v>9</v>
      </c>
      <c r="D8" s="8">
        <f>D10-D9</f>
        <v>97747.54</v>
      </c>
    </row>
    <row r="9" spans="1:4" s="7" customFormat="1" ht="12.75">
      <c r="A9" s="4">
        <v>5</v>
      </c>
      <c r="B9" s="5" t="s">
        <v>10</v>
      </c>
      <c r="C9" s="5" t="s">
        <v>9</v>
      </c>
      <c r="D9" s="9">
        <f>166.54+1.61+0.01+412.82+10.41+49.74+3.92+4009.04+13.54+28.26+87.21+416.6+32.93</f>
        <v>5232.630000000001</v>
      </c>
    </row>
    <row r="10" spans="1:4" s="7" customFormat="1" ht="12.75">
      <c r="A10" s="4">
        <v>6</v>
      </c>
      <c r="B10" s="5" t="s">
        <v>11</v>
      </c>
      <c r="C10" s="5" t="s">
        <v>9</v>
      </c>
      <c r="D10" s="9">
        <f>0.1+5014.42+0.01+0.03+69325.79+687.61+1077.91+4418.31+20951.5+1504.49</f>
        <v>102980.17</v>
      </c>
    </row>
    <row r="11" spans="1:4" s="7" customFormat="1" ht="25.5">
      <c r="A11" s="4">
        <v>7</v>
      </c>
      <c r="B11" s="5" t="s">
        <v>12</v>
      </c>
      <c r="C11" s="5"/>
      <c r="D11" s="8">
        <f>7.63+0.07+6320+0.46+2.26+0.17+31600+773310.62+6871.37+12310.37+29446.82+177090.41+7689.04+16933.39</f>
        <v>1061582.6099999999</v>
      </c>
    </row>
    <row r="12" spans="1:4" s="7" customFormat="1" ht="12.75">
      <c r="A12" s="4">
        <v>8</v>
      </c>
      <c r="B12" s="5" t="s">
        <v>13</v>
      </c>
      <c r="C12" s="5" t="s">
        <v>9</v>
      </c>
      <c r="D12" s="8">
        <f>D11-D14</f>
        <v>900166.6099999999</v>
      </c>
    </row>
    <row r="13" spans="1:4" s="7" customFormat="1" ht="12.75">
      <c r="A13" s="4">
        <v>9</v>
      </c>
      <c r="B13" s="5" t="s">
        <v>14</v>
      </c>
      <c r="C13" s="5" t="s">
        <v>9</v>
      </c>
      <c r="D13" s="8">
        <v>0</v>
      </c>
    </row>
    <row r="14" spans="1:4" s="7" customFormat="1" ht="12.75">
      <c r="A14" s="4">
        <v>10</v>
      </c>
      <c r="B14" s="5" t="s">
        <v>15</v>
      </c>
      <c r="C14" s="5" t="s">
        <v>9</v>
      </c>
      <c r="D14" s="8">
        <v>161416</v>
      </c>
    </row>
    <row r="15" spans="1:4" s="7" customFormat="1" ht="12.75">
      <c r="A15" s="4">
        <v>11</v>
      </c>
      <c r="B15" s="5" t="s">
        <v>16</v>
      </c>
      <c r="C15" s="5" t="s">
        <v>9</v>
      </c>
      <c r="D15" s="8">
        <f>SUM(D16:D20)</f>
        <v>1039631.8099999998</v>
      </c>
    </row>
    <row r="16" spans="1:4" s="7" customFormat="1" ht="12.75">
      <c r="A16" s="4">
        <v>12</v>
      </c>
      <c r="B16" s="5" t="s">
        <v>17</v>
      </c>
      <c r="C16" s="5" t="s">
        <v>9</v>
      </c>
      <c r="D16" s="8">
        <f>-158.81-1.54+9275.54-9.94-47.45-3.75+27240.62+221.69+738512.61+6670.38+11980.53+29885.2+175304.37+5349.97+16226.07</f>
        <v>1020445.4899999999</v>
      </c>
    </row>
    <row r="17" spans="1:4" s="7" customFormat="1" ht="12.75">
      <c r="A17" s="4">
        <v>13</v>
      </c>
      <c r="B17" s="5" t="s">
        <v>18</v>
      </c>
      <c r="C17" s="5" t="s">
        <v>9</v>
      </c>
      <c r="D17" s="8">
        <v>0</v>
      </c>
    </row>
    <row r="18" spans="1:4" s="7" customFormat="1" ht="12.75">
      <c r="A18" s="4">
        <v>14</v>
      </c>
      <c r="B18" s="5" t="s">
        <v>19</v>
      </c>
      <c r="C18" s="5" t="s">
        <v>9</v>
      </c>
      <c r="D18" s="8">
        <v>0</v>
      </c>
    </row>
    <row r="19" spans="1:4" s="7" customFormat="1" ht="12.75">
      <c r="A19" s="4">
        <v>15</v>
      </c>
      <c r="B19" s="5" t="s">
        <v>20</v>
      </c>
      <c r="C19" s="5" t="s">
        <v>9</v>
      </c>
      <c r="D19" s="8">
        <v>19186.32</v>
      </c>
    </row>
    <row r="20" spans="1:4" s="7" customFormat="1" ht="12.75">
      <c r="A20" s="4">
        <v>16</v>
      </c>
      <c r="B20" s="5" t="s">
        <v>21</v>
      </c>
      <c r="C20" s="5" t="s">
        <v>9</v>
      </c>
      <c r="D20" s="8">
        <v>0</v>
      </c>
    </row>
    <row r="21" spans="1:4" s="7" customFormat="1" ht="12.75">
      <c r="A21" s="4">
        <v>17</v>
      </c>
      <c r="B21" s="5" t="s">
        <v>22</v>
      </c>
      <c r="C21" s="5" t="s">
        <v>9</v>
      </c>
      <c r="D21" s="8">
        <f>D8+D15</f>
        <v>1137379.3499999999</v>
      </c>
    </row>
    <row r="22" spans="1:4" s="7" customFormat="1" ht="12.75">
      <c r="A22" s="4">
        <v>18</v>
      </c>
      <c r="B22" s="5" t="s">
        <v>23</v>
      </c>
      <c r="C22" s="5" t="s">
        <v>9</v>
      </c>
      <c r="D22" s="8">
        <f>D24-D23</f>
        <v>139312.66000000003</v>
      </c>
    </row>
    <row r="23" spans="1:4" s="7" customFormat="1" ht="12.75">
      <c r="A23" s="4">
        <v>19</v>
      </c>
      <c r="B23" s="5" t="s">
        <v>10</v>
      </c>
      <c r="C23" s="5" t="s">
        <v>9</v>
      </c>
      <c r="D23" s="9">
        <f>127.34+1.11+4.7+27.44+1.93+2.75</f>
        <v>165.27</v>
      </c>
    </row>
    <row r="24" spans="1:4" s="7" customFormat="1" ht="12.75">
      <c r="A24" s="4">
        <v>20</v>
      </c>
      <c r="B24" s="5" t="s">
        <v>11</v>
      </c>
      <c r="C24" s="5" t="s">
        <v>9</v>
      </c>
      <c r="D24" s="9">
        <f>1646.06+4359.38+206.3+100242.1+876.17+1379.49+3897.42+22348.38+2341+2181.63</f>
        <v>139477.93000000002</v>
      </c>
    </row>
    <row r="25" spans="1:4" s="7" customFormat="1" ht="26.25" customHeight="1">
      <c r="A25" s="36" t="s">
        <v>24</v>
      </c>
      <c r="B25" s="37"/>
      <c r="C25" s="37"/>
      <c r="D25" s="38"/>
    </row>
    <row r="26" spans="1:5" s="7" customFormat="1" ht="27.75" customHeight="1">
      <c r="A26" s="4">
        <v>21</v>
      </c>
      <c r="B26" s="5" t="s">
        <v>62</v>
      </c>
      <c r="C26" s="5" t="s">
        <v>9</v>
      </c>
      <c r="D26" s="8">
        <v>71285</v>
      </c>
      <c r="E26" s="14"/>
    </row>
    <row r="27" spans="1:4" s="7" customFormat="1" ht="19.5" customHeight="1">
      <c r="A27" s="4"/>
      <c r="B27" s="5" t="s">
        <v>63</v>
      </c>
      <c r="C27" s="5" t="s">
        <v>65</v>
      </c>
      <c r="D27" s="34">
        <f>D26/4161.4/12</f>
        <v>1.4275043655180149</v>
      </c>
    </row>
    <row r="28" spans="1:4" s="7" customFormat="1" ht="14.25" customHeight="1">
      <c r="A28" s="4"/>
      <c r="B28" s="5" t="s">
        <v>25</v>
      </c>
      <c r="C28" s="5"/>
      <c r="D28" s="4" t="s">
        <v>64</v>
      </c>
    </row>
    <row r="29" spans="1:4" s="7" customFormat="1" ht="26.25" customHeight="1">
      <c r="A29" s="4">
        <v>22</v>
      </c>
      <c r="B29" s="5" t="s">
        <v>66</v>
      </c>
      <c r="C29" s="5" t="s">
        <v>9</v>
      </c>
      <c r="D29" s="8">
        <v>167456</v>
      </c>
    </row>
    <row r="30" spans="1:4" s="7" customFormat="1" ht="14.25" customHeight="1">
      <c r="A30" s="4"/>
      <c r="B30" s="10" t="s">
        <v>67</v>
      </c>
      <c r="C30" s="5" t="s">
        <v>65</v>
      </c>
      <c r="D30" s="11">
        <f>D29/12/4161.4</f>
        <v>3.3533586453276945</v>
      </c>
    </row>
    <row r="31" spans="1:4" s="7" customFormat="1" ht="14.25" customHeight="1">
      <c r="A31" s="12"/>
      <c r="B31" s="5" t="s">
        <v>25</v>
      </c>
      <c r="C31" s="5"/>
      <c r="D31" s="4" t="s">
        <v>68</v>
      </c>
    </row>
    <row r="32" spans="1:4" s="7" customFormat="1" ht="26.25" customHeight="1">
      <c r="A32" s="4">
        <v>23</v>
      </c>
      <c r="B32" s="5" t="s">
        <v>69</v>
      </c>
      <c r="C32" s="5" t="s">
        <v>9</v>
      </c>
      <c r="D32" s="8">
        <v>6669</v>
      </c>
    </row>
    <row r="33" spans="1:4" s="7" customFormat="1" ht="14.25" customHeight="1">
      <c r="A33" s="4"/>
      <c r="B33" s="10" t="s">
        <v>70</v>
      </c>
      <c r="C33" s="5" t="s">
        <v>65</v>
      </c>
      <c r="D33" s="11">
        <f>D32/12/4161.4</f>
        <v>0.13354880569039268</v>
      </c>
    </row>
    <row r="34" spans="1:4" s="7" customFormat="1" ht="14.25" customHeight="1">
      <c r="A34" s="12"/>
      <c r="B34" s="5" t="s">
        <v>25</v>
      </c>
      <c r="C34" s="5"/>
      <c r="D34" s="4" t="s">
        <v>71</v>
      </c>
    </row>
    <row r="35" spans="1:4" s="7" customFormat="1" ht="40.5" customHeight="1">
      <c r="A35" s="4">
        <v>24</v>
      </c>
      <c r="B35" s="5" t="s">
        <v>90</v>
      </c>
      <c r="C35" s="5" t="s">
        <v>9</v>
      </c>
      <c r="D35" s="8">
        <f>78352+9769</f>
        <v>88121</v>
      </c>
    </row>
    <row r="36" spans="1:4" s="7" customFormat="1" ht="14.25" customHeight="1">
      <c r="A36" s="4"/>
      <c r="B36" s="10" t="s">
        <v>72</v>
      </c>
      <c r="C36" s="5" t="s">
        <v>65</v>
      </c>
      <c r="D36" s="11">
        <f>78352/12/4161.4</f>
        <v>1.569023245382163</v>
      </c>
    </row>
    <row r="37" spans="1:4" s="7" customFormat="1" ht="14.25" customHeight="1">
      <c r="A37" s="12"/>
      <c r="B37" s="5" t="s">
        <v>25</v>
      </c>
      <c r="C37" s="5"/>
      <c r="D37" s="4" t="s">
        <v>73</v>
      </c>
    </row>
    <row r="38" spans="1:4" s="7" customFormat="1" ht="14.25" customHeight="1">
      <c r="A38" s="4"/>
      <c r="B38" s="10" t="s">
        <v>74</v>
      </c>
      <c r="C38" s="5" t="s">
        <v>65</v>
      </c>
      <c r="D38" s="11">
        <f>9769/12/4161.4</f>
        <v>0.19562727287291137</v>
      </c>
    </row>
    <row r="39" spans="1:4" s="7" customFormat="1" ht="14.25" customHeight="1">
      <c r="A39" s="12"/>
      <c r="B39" s="5" t="s">
        <v>25</v>
      </c>
      <c r="C39" s="5"/>
      <c r="D39" s="4" t="s">
        <v>73</v>
      </c>
    </row>
    <row r="40" spans="1:4" s="7" customFormat="1" ht="25.5" customHeight="1">
      <c r="A40" s="4">
        <v>25</v>
      </c>
      <c r="B40" s="5" t="s">
        <v>89</v>
      </c>
      <c r="C40" s="5" t="s">
        <v>9</v>
      </c>
      <c r="D40" s="8">
        <v>24957</v>
      </c>
    </row>
    <row r="41" spans="1:4" s="7" customFormat="1" ht="28.5" customHeight="1">
      <c r="A41" s="4"/>
      <c r="B41" s="10" t="s">
        <v>93</v>
      </c>
      <c r="C41" s="5" t="s">
        <v>65</v>
      </c>
      <c r="D41" s="11">
        <f>D40/12/4161.4</f>
        <v>0.4997717114432643</v>
      </c>
    </row>
    <row r="42" spans="1:4" s="7" customFormat="1" ht="14.25" customHeight="1">
      <c r="A42" s="12"/>
      <c r="B42" s="5" t="s">
        <v>25</v>
      </c>
      <c r="C42" s="5"/>
      <c r="D42" s="4" t="s">
        <v>73</v>
      </c>
    </row>
    <row r="43" spans="1:4" s="7" customFormat="1" ht="54" customHeight="1">
      <c r="A43" s="4">
        <v>26</v>
      </c>
      <c r="B43" s="5" t="s">
        <v>77</v>
      </c>
      <c r="C43" s="5" t="s">
        <v>9</v>
      </c>
      <c r="D43" s="8">
        <v>270431</v>
      </c>
    </row>
    <row r="44" spans="1:4" s="7" customFormat="1" ht="14.25" customHeight="1">
      <c r="A44" s="4"/>
      <c r="B44" s="10" t="s">
        <v>78</v>
      </c>
      <c r="C44" s="5" t="s">
        <v>65</v>
      </c>
      <c r="D44" s="11">
        <f>D43/12/4161.4</f>
        <v>5.415465147947006</v>
      </c>
    </row>
    <row r="45" spans="1:4" s="7" customFormat="1" ht="14.25" customHeight="1">
      <c r="A45" s="12"/>
      <c r="B45" s="5" t="s">
        <v>25</v>
      </c>
      <c r="C45" s="5"/>
      <c r="D45" s="4" t="s">
        <v>68</v>
      </c>
    </row>
    <row r="46" spans="1:4" s="7" customFormat="1" ht="16.5" customHeight="1">
      <c r="A46" s="4">
        <v>27</v>
      </c>
      <c r="B46" s="5" t="s">
        <v>79</v>
      </c>
      <c r="C46" s="5" t="s">
        <v>9</v>
      </c>
      <c r="D46" s="8">
        <v>29447</v>
      </c>
    </row>
    <row r="47" spans="1:4" s="7" customFormat="1" ht="14.25" customHeight="1">
      <c r="A47" s="4"/>
      <c r="B47" s="10" t="s">
        <v>80</v>
      </c>
      <c r="C47" s="5" t="s">
        <v>65</v>
      </c>
      <c r="D47" s="11">
        <v>0.6</v>
      </c>
    </row>
    <row r="48" spans="1:4" s="7" customFormat="1" ht="14.25" customHeight="1">
      <c r="A48" s="12"/>
      <c r="B48" s="5" t="s">
        <v>25</v>
      </c>
      <c r="C48" s="5"/>
      <c r="D48" s="4" t="s">
        <v>81</v>
      </c>
    </row>
    <row r="49" spans="1:4" s="7" customFormat="1" ht="29.25" customHeight="1">
      <c r="A49" s="4">
        <v>28</v>
      </c>
      <c r="B49" s="5" t="s">
        <v>82</v>
      </c>
      <c r="C49" s="5" t="s">
        <v>9</v>
      </c>
      <c r="D49" s="8">
        <v>112479</v>
      </c>
    </row>
    <row r="50" spans="1:4" s="7" customFormat="1" ht="14.25" customHeight="1">
      <c r="A50" s="4"/>
      <c r="B50" s="10" t="s">
        <v>83</v>
      </c>
      <c r="C50" s="5" t="s">
        <v>65</v>
      </c>
      <c r="D50" s="11">
        <f>D49/12/4161.4</f>
        <v>2.252427067813717</v>
      </c>
    </row>
    <row r="51" spans="1:4" s="7" customFormat="1" ht="14.25" customHeight="1">
      <c r="A51" s="12"/>
      <c r="B51" s="5" t="s">
        <v>25</v>
      </c>
      <c r="C51" s="5"/>
      <c r="D51" s="4" t="s">
        <v>68</v>
      </c>
    </row>
    <row r="52" spans="1:4" s="7" customFormat="1" ht="18.75" customHeight="1">
      <c r="A52" s="4">
        <v>29</v>
      </c>
      <c r="B52" s="5" t="s">
        <v>84</v>
      </c>
      <c r="C52" s="5" t="s">
        <v>9</v>
      </c>
      <c r="D52" s="8">
        <v>156139</v>
      </c>
    </row>
    <row r="53" spans="1:4" s="7" customFormat="1" ht="28.5" customHeight="1">
      <c r="A53" s="4"/>
      <c r="B53" s="10" t="s">
        <v>85</v>
      </c>
      <c r="C53" s="5" t="s">
        <v>65</v>
      </c>
      <c r="D53" s="11">
        <f>D52/12/4161.4</f>
        <v>3.1267321894875124</v>
      </c>
    </row>
    <row r="54" spans="1:4" s="7" customFormat="1" ht="14.25" customHeight="1">
      <c r="A54" s="12"/>
      <c r="B54" s="5" t="s">
        <v>25</v>
      </c>
      <c r="C54" s="5"/>
      <c r="D54" s="4" t="s">
        <v>73</v>
      </c>
    </row>
    <row r="55" spans="1:4" s="7" customFormat="1" ht="28.5" customHeight="1">
      <c r="A55" s="4">
        <v>30</v>
      </c>
      <c r="B55" s="5" t="s">
        <v>86</v>
      </c>
      <c r="C55" s="5" t="s">
        <v>9</v>
      </c>
      <c r="D55" s="8">
        <f>15311+6278</f>
        <v>21589</v>
      </c>
    </row>
    <row r="56" spans="1:4" s="7" customFormat="1" ht="26.25" customHeight="1">
      <c r="A56" s="4"/>
      <c r="B56" s="10" t="s">
        <v>87</v>
      </c>
      <c r="C56" s="5" t="s">
        <v>65</v>
      </c>
      <c r="D56" s="11">
        <f>D55/12/4161.4</f>
        <v>0.4323264606462569</v>
      </c>
    </row>
    <row r="57" spans="1:4" s="7" customFormat="1" ht="27.75" customHeight="1">
      <c r="A57" s="12"/>
      <c r="B57" s="5" t="s">
        <v>25</v>
      </c>
      <c r="C57" s="5"/>
      <c r="D57" s="4" t="s">
        <v>88</v>
      </c>
    </row>
    <row r="58" spans="1:4" s="7" customFormat="1" ht="16.5" customHeight="1">
      <c r="A58" s="36" t="s">
        <v>26</v>
      </c>
      <c r="B58" s="37"/>
      <c r="C58" s="37"/>
      <c r="D58" s="38"/>
    </row>
    <row r="59" spans="1:4" s="7" customFormat="1" ht="14.25" customHeight="1">
      <c r="A59" s="4">
        <v>31</v>
      </c>
      <c r="B59" s="5" t="s">
        <v>27</v>
      </c>
      <c r="C59" s="5" t="s">
        <v>28</v>
      </c>
      <c r="D59" s="4">
        <v>0</v>
      </c>
    </row>
    <row r="60" spans="1:4" s="7" customFormat="1" ht="14.25" customHeight="1">
      <c r="A60" s="4">
        <f>A59+1</f>
        <v>32</v>
      </c>
      <c r="B60" s="5" t="s">
        <v>29</v>
      </c>
      <c r="C60" s="5" t="s">
        <v>30</v>
      </c>
      <c r="D60" s="4">
        <v>0</v>
      </c>
    </row>
    <row r="61" spans="1:4" s="7" customFormat="1" ht="14.25" customHeight="1">
      <c r="A61" s="4">
        <f>A60+1</f>
        <v>33</v>
      </c>
      <c r="B61" s="5" t="s">
        <v>31</v>
      </c>
      <c r="C61" s="5" t="s">
        <v>28</v>
      </c>
      <c r="D61" s="4">
        <v>0</v>
      </c>
    </row>
    <row r="62" spans="1:4" s="7" customFormat="1" ht="14.25" customHeight="1">
      <c r="A62" s="4">
        <f>A61+1</f>
        <v>34</v>
      </c>
      <c r="B62" s="5" t="s">
        <v>32</v>
      </c>
      <c r="C62" s="5" t="s">
        <v>9</v>
      </c>
      <c r="D62" s="4">
        <v>0</v>
      </c>
    </row>
    <row r="63" spans="1:4" s="7" customFormat="1" ht="17.25" customHeight="1">
      <c r="A63" s="36" t="s">
        <v>33</v>
      </c>
      <c r="B63" s="37"/>
      <c r="C63" s="37"/>
      <c r="D63" s="38"/>
    </row>
    <row r="64" spans="1:4" s="7" customFormat="1" ht="25.5">
      <c r="A64" s="4">
        <f>A62+1</f>
        <v>35</v>
      </c>
      <c r="B64" s="5" t="s">
        <v>34</v>
      </c>
      <c r="C64" s="5" t="s">
        <v>9</v>
      </c>
      <c r="D64" s="8">
        <f>D66-D65</f>
        <v>148736.72999999998</v>
      </c>
    </row>
    <row r="65" spans="1:4" s="7" customFormat="1" ht="15" customHeight="1">
      <c r="A65" s="4">
        <f>A64+1</f>
        <v>36</v>
      </c>
      <c r="B65" s="5" t="s">
        <v>10</v>
      </c>
      <c r="C65" s="5" t="s">
        <v>9</v>
      </c>
      <c r="D65" s="8">
        <f>1884.94+715.53+471.84+71.49+507.17</f>
        <v>3650.9700000000003</v>
      </c>
    </row>
    <row r="66" spans="1:4" s="7" customFormat="1" ht="15" customHeight="1">
      <c r="A66" s="4">
        <f>A65+1</f>
        <v>37</v>
      </c>
      <c r="B66" s="5" t="s">
        <v>11</v>
      </c>
      <c r="C66" s="5" t="s">
        <v>9</v>
      </c>
      <c r="D66" s="8">
        <f>49140.44+21622.45+16296.59+14730.41+51342.63-744.82</f>
        <v>152387.69999999998</v>
      </c>
    </row>
    <row r="67" spans="1:4" s="7" customFormat="1" ht="25.5">
      <c r="A67" s="4">
        <f>A66+1</f>
        <v>38</v>
      </c>
      <c r="B67" s="5" t="s">
        <v>35</v>
      </c>
      <c r="C67" s="5" t="s">
        <v>9</v>
      </c>
      <c r="D67" s="8">
        <f>D69-D68</f>
        <v>198367.29</v>
      </c>
    </row>
    <row r="68" spans="1:4" s="7" customFormat="1" ht="13.5" customHeight="1">
      <c r="A68" s="4">
        <f>A67+1</f>
        <v>39</v>
      </c>
      <c r="B68" s="5" t="s">
        <v>10</v>
      </c>
      <c r="C68" s="5" t="s">
        <v>9</v>
      </c>
      <c r="D68" s="8">
        <f>99.58+32.16+22.36+17.7+66.32</f>
        <v>238.12</v>
      </c>
    </row>
    <row r="69" spans="1:5" s="7" customFormat="1" ht="13.5" customHeight="1">
      <c r="A69" s="4">
        <f>A68+1</f>
        <v>40</v>
      </c>
      <c r="B69" s="5" t="s">
        <v>11</v>
      </c>
      <c r="C69" s="5" t="s">
        <v>9</v>
      </c>
      <c r="D69" s="8">
        <f>62101.2+28249.83+21414.34+18538.58+68301.46</f>
        <v>198605.41</v>
      </c>
      <c r="E69" s="14"/>
    </row>
    <row r="70" spans="1:4" s="7" customFormat="1" ht="18" customHeight="1">
      <c r="A70" s="36" t="s">
        <v>52</v>
      </c>
      <c r="B70" s="37"/>
      <c r="C70" s="37"/>
      <c r="D70" s="38"/>
    </row>
    <row r="71" spans="1:4" s="7" customFormat="1" ht="12.75">
      <c r="A71" s="4">
        <f>A69+1</f>
        <v>41</v>
      </c>
      <c r="B71" s="5" t="s">
        <v>36</v>
      </c>
      <c r="C71" s="5"/>
      <c r="D71" s="15" t="s">
        <v>53</v>
      </c>
    </row>
    <row r="72" spans="1:4" s="7" customFormat="1" ht="12.75">
      <c r="A72" s="4">
        <f>A71+1</f>
        <v>42</v>
      </c>
      <c r="B72" s="5" t="s">
        <v>37</v>
      </c>
      <c r="C72" s="5"/>
      <c r="D72" s="4" t="s">
        <v>59</v>
      </c>
    </row>
    <row r="73" spans="1:4" s="7" customFormat="1" ht="12.75">
      <c r="A73" s="4">
        <f aca="true" t="shared" si="0" ref="A73:A120">A72+1</f>
        <v>43</v>
      </c>
      <c r="B73" s="5" t="s">
        <v>38</v>
      </c>
      <c r="C73" s="5" t="s">
        <v>39</v>
      </c>
      <c r="D73" s="4">
        <f>(21.437+9.44+11.55-3.228+8.28+7.502+7.92+7.246+9.32+8.428+7.12+6.588+12.261+11.4+6.96+5.61+7.56+7.013+8.8+7.774+10.32+8.434+9.8+8.208)*1000</f>
        <v>205743.00000000006</v>
      </c>
    </row>
    <row r="74" spans="1:4" s="7" customFormat="1" ht="12.75">
      <c r="A74" s="4">
        <f t="shared" si="0"/>
        <v>44</v>
      </c>
      <c r="B74" s="5" t="s">
        <v>40</v>
      </c>
      <c r="C74" s="5" t="s">
        <v>9</v>
      </c>
      <c r="D74" s="8">
        <v>429242.85</v>
      </c>
    </row>
    <row r="75" spans="1:4" s="7" customFormat="1" ht="12.75">
      <c r="A75" s="4">
        <f t="shared" si="0"/>
        <v>45</v>
      </c>
      <c r="B75" s="5" t="s">
        <v>41</v>
      </c>
      <c r="C75" s="5" t="s">
        <v>9</v>
      </c>
      <c r="D75" s="8">
        <v>411843.17</v>
      </c>
    </row>
    <row r="76" spans="1:4" s="7" customFormat="1" ht="12.75">
      <c r="A76" s="4">
        <f t="shared" si="0"/>
        <v>46</v>
      </c>
      <c r="B76" s="5" t="s">
        <v>42</v>
      </c>
      <c r="C76" s="5" t="s">
        <v>9</v>
      </c>
      <c r="D76" s="8">
        <f>D74-D75</f>
        <v>17399.679999999993</v>
      </c>
    </row>
    <row r="77" spans="1:4" s="18" customFormat="1" ht="12.75">
      <c r="A77" s="4">
        <f t="shared" si="0"/>
        <v>47</v>
      </c>
      <c r="B77" s="16" t="s">
        <v>43</v>
      </c>
      <c r="C77" s="16" t="s">
        <v>9</v>
      </c>
      <c r="D77" s="17">
        <v>422822.47</v>
      </c>
    </row>
    <row r="78" spans="1:4" s="18" customFormat="1" ht="12.75">
      <c r="A78" s="4">
        <f t="shared" si="0"/>
        <v>48</v>
      </c>
      <c r="B78" s="16" t="s">
        <v>44</v>
      </c>
      <c r="C78" s="16" t="s">
        <v>9</v>
      </c>
      <c r="D78" s="17">
        <v>425806</v>
      </c>
    </row>
    <row r="79" spans="1:4" s="18" customFormat="1" ht="12.75">
      <c r="A79" s="4">
        <f t="shared" si="0"/>
        <v>49</v>
      </c>
      <c r="B79" s="16" t="s">
        <v>45</v>
      </c>
      <c r="C79" s="16" t="s">
        <v>9</v>
      </c>
      <c r="D79" s="17">
        <f>D78-D77</f>
        <v>2983.530000000028</v>
      </c>
    </row>
    <row r="80" spans="1:4" s="18" customFormat="1" ht="25.5">
      <c r="A80" s="4">
        <f t="shared" si="0"/>
        <v>50</v>
      </c>
      <c r="B80" s="16" t="s">
        <v>46</v>
      </c>
      <c r="C80" s="16" t="s">
        <v>9</v>
      </c>
      <c r="D80" s="19">
        <v>0</v>
      </c>
    </row>
    <row r="81" spans="1:4" s="7" customFormat="1" ht="24">
      <c r="A81" s="4">
        <f t="shared" si="0"/>
        <v>51</v>
      </c>
      <c r="B81" s="5" t="s">
        <v>36</v>
      </c>
      <c r="C81" s="5"/>
      <c r="D81" s="15" t="s">
        <v>54</v>
      </c>
    </row>
    <row r="82" spans="1:4" s="7" customFormat="1" ht="12.75">
      <c r="A82" s="4">
        <f t="shared" si="0"/>
        <v>52</v>
      </c>
      <c r="B82" s="5" t="s">
        <v>37</v>
      </c>
      <c r="C82" s="5"/>
      <c r="D82" s="4" t="s">
        <v>60</v>
      </c>
    </row>
    <row r="83" spans="1:4" s="7" customFormat="1" ht="12.75">
      <c r="A83" s="4">
        <f t="shared" si="0"/>
        <v>53</v>
      </c>
      <c r="B83" s="5" t="s">
        <v>38</v>
      </c>
      <c r="C83" s="5" t="s">
        <v>39</v>
      </c>
      <c r="D83" s="4">
        <f>40.01+1761.068+34.433+1710.494-663.67-683.29+33.433+1684.127-653.441+33.276+1546.455-600.024+29.691+1639.777-636.233+28.292+1665.152-646.079+20.565+1489.662-577.988+21.668+1556.331-603.856+27.197+1498.803-581.535+29.45+1616.415-627.169+33.75+1700.785-659.904+25.601+1505.899-584.289</f>
        <v>12214.856</v>
      </c>
    </row>
    <row r="84" spans="1:4" s="7" customFormat="1" ht="12.75">
      <c r="A84" s="4">
        <f t="shared" si="0"/>
        <v>54</v>
      </c>
      <c r="B84" s="5" t="s">
        <v>40</v>
      </c>
      <c r="C84" s="5" t="s">
        <v>9</v>
      </c>
      <c r="D84" s="8">
        <v>213164.58</v>
      </c>
    </row>
    <row r="85" spans="1:4" s="7" customFormat="1" ht="12.75">
      <c r="A85" s="4">
        <f t="shared" si="0"/>
        <v>55</v>
      </c>
      <c r="B85" s="5" t="s">
        <v>41</v>
      </c>
      <c r="C85" s="5" t="s">
        <v>9</v>
      </c>
      <c r="D85" s="8">
        <v>205853.83</v>
      </c>
    </row>
    <row r="86" spans="1:4" s="7" customFormat="1" ht="12.75">
      <c r="A86" s="4">
        <f t="shared" si="0"/>
        <v>56</v>
      </c>
      <c r="B86" s="5" t="s">
        <v>42</v>
      </c>
      <c r="C86" s="5" t="s">
        <v>9</v>
      </c>
      <c r="D86" s="8">
        <f>D84-D85</f>
        <v>7310.75</v>
      </c>
    </row>
    <row r="87" spans="1:4" s="18" customFormat="1" ht="12.75">
      <c r="A87" s="4">
        <f t="shared" si="0"/>
        <v>57</v>
      </c>
      <c r="B87" s="16" t="s">
        <v>43</v>
      </c>
      <c r="C87" s="16" t="s">
        <v>9</v>
      </c>
      <c r="D87" s="17">
        <v>218172.4</v>
      </c>
    </row>
    <row r="88" spans="1:4" s="18" customFormat="1" ht="12.75">
      <c r="A88" s="4">
        <f t="shared" si="0"/>
        <v>58</v>
      </c>
      <c r="B88" s="16" t="s">
        <v>44</v>
      </c>
      <c r="C88" s="16" t="s">
        <v>9</v>
      </c>
      <c r="D88" s="17">
        <v>224255</v>
      </c>
    </row>
    <row r="89" spans="1:4" s="18" customFormat="1" ht="12.75">
      <c r="A89" s="4">
        <f t="shared" si="0"/>
        <v>59</v>
      </c>
      <c r="B89" s="16" t="s">
        <v>45</v>
      </c>
      <c r="C89" s="16" t="s">
        <v>9</v>
      </c>
      <c r="D89" s="17">
        <f>D88-D87</f>
        <v>6082.600000000006</v>
      </c>
    </row>
    <row r="90" spans="1:4" s="18" customFormat="1" ht="25.5">
      <c r="A90" s="4">
        <f t="shared" si="0"/>
        <v>60</v>
      </c>
      <c r="B90" s="16" t="s">
        <v>46</v>
      </c>
      <c r="C90" s="16" t="s">
        <v>9</v>
      </c>
      <c r="D90" s="19">
        <v>0</v>
      </c>
    </row>
    <row r="91" spans="1:4" s="7" customFormat="1" ht="25.5">
      <c r="A91" s="4">
        <f t="shared" si="0"/>
        <v>61</v>
      </c>
      <c r="B91" s="5" t="s">
        <v>36</v>
      </c>
      <c r="C91" s="5"/>
      <c r="D91" s="20" t="s">
        <v>55</v>
      </c>
    </row>
    <row r="92" spans="1:4" s="7" customFormat="1" ht="12.75">
      <c r="A92" s="4">
        <f t="shared" si="0"/>
        <v>62</v>
      </c>
      <c r="B92" s="5" t="s">
        <v>37</v>
      </c>
      <c r="C92" s="5"/>
      <c r="D92" s="4" t="s">
        <v>60</v>
      </c>
    </row>
    <row r="93" spans="1:4" s="7" customFormat="1" ht="12.75">
      <c r="A93" s="4">
        <f t="shared" si="0"/>
        <v>63</v>
      </c>
      <c r="B93" s="5" t="s">
        <v>38</v>
      </c>
      <c r="C93" s="5" t="s">
        <v>39</v>
      </c>
      <c r="D93" s="4">
        <v>4756</v>
      </c>
    </row>
    <row r="94" spans="1:4" s="7" customFormat="1" ht="12.75">
      <c r="A94" s="4">
        <f t="shared" si="0"/>
        <v>64</v>
      </c>
      <c r="B94" s="5" t="s">
        <v>40</v>
      </c>
      <c r="C94" s="5" t="s">
        <v>9</v>
      </c>
      <c r="D94" s="8">
        <v>133126.69</v>
      </c>
    </row>
    <row r="95" spans="1:4" s="7" customFormat="1" ht="12.75">
      <c r="A95" s="4">
        <f t="shared" si="0"/>
        <v>65</v>
      </c>
      <c r="B95" s="5" t="s">
        <v>41</v>
      </c>
      <c r="C95" s="5" t="s">
        <v>9</v>
      </c>
      <c r="D95" s="8">
        <v>129264.73</v>
      </c>
    </row>
    <row r="96" spans="1:4" s="7" customFormat="1" ht="12.75">
      <c r="A96" s="4">
        <f t="shared" si="0"/>
        <v>66</v>
      </c>
      <c r="B96" s="5" t="s">
        <v>42</v>
      </c>
      <c r="C96" s="5" t="s">
        <v>9</v>
      </c>
      <c r="D96" s="8">
        <f>D94-D95</f>
        <v>3861.9600000000064</v>
      </c>
    </row>
    <row r="97" spans="1:4" s="18" customFormat="1" ht="12.75">
      <c r="A97" s="4">
        <f t="shared" si="0"/>
        <v>67</v>
      </c>
      <c r="B97" s="16" t="s">
        <v>43</v>
      </c>
      <c r="C97" s="16" t="s">
        <v>9</v>
      </c>
      <c r="D97" s="17">
        <f>157277.44+113.83</f>
        <v>157391.27</v>
      </c>
    </row>
    <row r="98" spans="1:4" s="18" customFormat="1" ht="12.75">
      <c r="A98" s="4">
        <f t="shared" si="0"/>
        <v>68</v>
      </c>
      <c r="B98" s="16" t="s">
        <v>44</v>
      </c>
      <c r="C98" s="16" t="s">
        <v>9</v>
      </c>
      <c r="D98" s="17">
        <v>149802</v>
      </c>
    </row>
    <row r="99" spans="1:4" s="18" customFormat="1" ht="12.75">
      <c r="A99" s="4">
        <f t="shared" si="0"/>
        <v>69</v>
      </c>
      <c r="B99" s="16" t="s">
        <v>45</v>
      </c>
      <c r="C99" s="16" t="s">
        <v>9</v>
      </c>
      <c r="D99" s="17">
        <f>D98-D97</f>
        <v>-7589.2699999999895</v>
      </c>
    </row>
    <row r="100" spans="1:4" s="18" customFormat="1" ht="25.5">
      <c r="A100" s="4">
        <f t="shared" si="0"/>
        <v>70</v>
      </c>
      <c r="B100" s="16" t="s">
        <v>46</v>
      </c>
      <c r="C100" s="16" t="s">
        <v>9</v>
      </c>
      <c r="D100" s="19">
        <v>0</v>
      </c>
    </row>
    <row r="101" spans="1:4" s="7" customFormat="1" ht="24">
      <c r="A101" s="4">
        <f t="shared" si="0"/>
        <v>71</v>
      </c>
      <c r="B101" s="5" t="s">
        <v>36</v>
      </c>
      <c r="C101" s="5"/>
      <c r="D101" s="15" t="s">
        <v>58</v>
      </c>
    </row>
    <row r="102" spans="1:4" s="7" customFormat="1" ht="12.75">
      <c r="A102" s="4">
        <f t="shared" si="0"/>
        <v>72</v>
      </c>
      <c r="B102" s="5" t="s">
        <v>37</v>
      </c>
      <c r="C102" s="5"/>
      <c r="D102" s="4" t="s">
        <v>61</v>
      </c>
    </row>
    <row r="103" spans="1:4" s="7" customFormat="1" ht="12.75">
      <c r="A103" s="4">
        <f t="shared" si="0"/>
        <v>73</v>
      </c>
      <c r="B103" s="5" t="s">
        <v>38</v>
      </c>
      <c r="C103" s="5" t="s">
        <v>39</v>
      </c>
      <c r="D103" s="4">
        <v>879</v>
      </c>
    </row>
    <row r="104" spans="1:4" s="7" customFormat="1" ht="12.75">
      <c r="A104" s="4">
        <f t="shared" si="0"/>
        <v>74</v>
      </c>
      <c r="B104" s="5" t="s">
        <v>40</v>
      </c>
      <c r="C104" s="5" t="s">
        <v>9</v>
      </c>
      <c r="D104" s="8">
        <v>539085.66</v>
      </c>
    </row>
    <row r="105" spans="1:4" s="7" customFormat="1" ht="12.75">
      <c r="A105" s="4">
        <f t="shared" si="0"/>
        <v>75</v>
      </c>
      <c r="B105" s="5" t="s">
        <v>41</v>
      </c>
      <c r="C105" s="5" t="s">
        <v>9</v>
      </c>
      <c r="D105" s="8">
        <v>524339.54</v>
      </c>
    </row>
    <row r="106" spans="1:4" s="7" customFormat="1" ht="12.75">
      <c r="A106" s="4">
        <f t="shared" si="0"/>
        <v>76</v>
      </c>
      <c r="B106" s="5" t="s">
        <v>42</v>
      </c>
      <c r="C106" s="5" t="s">
        <v>9</v>
      </c>
      <c r="D106" s="8">
        <f>D104-D105</f>
        <v>14746.119999999995</v>
      </c>
    </row>
    <row r="107" spans="1:4" s="18" customFormat="1" ht="12.75">
      <c r="A107" s="4">
        <f t="shared" si="0"/>
        <v>77</v>
      </c>
      <c r="B107" s="16" t="s">
        <v>43</v>
      </c>
      <c r="C107" s="16" t="s">
        <v>9</v>
      </c>
      <c r="D107" s="17">
        <v>628535.16</v>
      </c>
    </row>
    <row r="108" spans="1:4" s="18" customFormat="1" ht="12.75">
      <c r="A108" s="4">
        <f t="shared" si="0"/>
        <v>78</v>
      </c>
      <c r="B108" s="16" t="s">
        <v>44</v>
      </c>
      <c r="C108" s="16" t="s">
        <v>9</v>
      </c>
      <c r="D108" s="17">
        <v>597706</v>
      </c>
    </row>
    <row r="109" spans="1:4" s="18" customFormat="1" ht="12.75">
      <c r="A109" s="4">
        <f t="shared" si="0"/>
        <v>79</v>
      </c>
      <c r="B109" s="16" t="s">
        <v>45</v>
      </c>
      <c r="C109" s="16" t="s">
        <v>9</v>
      </c>
      <c r="D109" s="17">
        <f>D108-D107</f>
        <v>-30829.160000000033</v>
      </c>
    </row>
    <row r="110" spans="1:4" s="18" customFormat="1" ht="25.5">
      <c r="A110" s="4">
        <f t="shared" si="0"/>
        <v>80</v>
      </c>
      <c r="B110" s="16" t="s">
        <v>46</v>
      </c>
      <c r="C110" s="16" t="s">
        <v>9</v>
      </c>
      <c r="D110" s="19">
        <v>0</v>
      </c>
    </row>
    <row r="111" spans="1:4" s="7" customFormat="1" ht="12.75">
      <c r="A111" s="4">
        <f t="shared" si="0"/>
        <v>81</v>
      </c>
      <c r="B111" s="5" t="s">
        <v>36</v>
      </c>
      <c r="C111" s="5"/>
      <c r="D111" s="20" t="s">
        <v>56</v>
      </c>
    </row>
    <row r="112" spans="1:4" s="7" customFormat="1" ht="12.75">
      <c r="A112" s="4">
        <f t="shared" si="0"/>
        <v>82</v>
      </c>
      <c r="B112" s="5" t="s">
        <v>37</v>
      </c>
      <c r="C112" s="5"/>
      <c r="D112" s="4" t="s">
        <v>60</v>
      </c>
    </row>
    <row r="113" spans="1:4" s="7" customFormat="1" ht="12.75">
      <c r="A113" s="4">
        <f t="shared" si="0"/>
        <v>83</v>
      </c>
      <c r="B113" s="5" t="s">
        <v>38</v>
      </c>
      <c r="C113" s="5" t="s">
        <v>39</v>
      </c>
      <c r="D113" s="4">
        <f>55.407+2558.317-992.63+46.984+2574.449-998.886+48.686+2536.229-984.056+53.947+2482.992-963.4+45.003+2492.254-966.995+41.503+2361.531-916.274+30.897+2096.229-813.336+34.369+2072.241-804.029+41.352+2324.664-901.969+44.014+2248.888-872.568+47.195+2451.973-951.366+38.074+2265.276-878.927</f>
        <v>17948.037999999997</v>
      </c>
    </row>
    <row r="114" spans="1:4" s="7" customFormat="1" ht="12.75">
      <c r="A114" s="4">
        <f t="shared" si="0"/>
        <v>84</v>
      </c>
      <c r="B114" s="5" t="s">
        <v>40</v>
      </c>
      <c r="C114" s="5" t="s">
        <v>9</v>
      </c>
      <c r="D114" s="8">
        <v>153773.94</v>
      </c>
    </row>
    <row r="115" spans="1:4" s="7" customFormat="1" ht="12.75">
      <c r="A115" s="4">
        <f t="shared" si="0"/>
        <v>85</v>
      </c>
      <c r="B115" s="5" t="s">
        <v>41</v>
      </c>
      <c r="C115" s="5" t="s">
        <v>9</v>
      </c>
      <c r="D115" s="8">
        <v>148206.71</v>
      </c>
    </row>
    <row r="116" spans="1:4" s="7" customFormat="1" ht="12.75">
      <c r="A116" s="4">
        <f t="shared" si="0"/>
        <v>86</v>
      </c>
      <c r="B116" s="5" t="s">
        <v>42</v>
      </c>
      <c r="C116" s="5" t="s">
        <v>9</v>
      </c>
      <c r="D116" s="8">
        <f>D114-D115</f>
        <v>5567.2300000000105</v>
      </c>
    </row>
    <row r="117" spans="1:4" s="18" customFormat="1" ht="12.75">
      <c r="A117" s="4">
        <f t="shared" si="0"/>
        <v>87</v>
      </c>
      <c r="B117" s="16" t="s">
        <v>43</v>
      </c>
      <c r="C117" s="16" t="s">
        <v>9</v>
      </c>
      <c r="D117" s="17">
        <v>157498.1</v>
      </c>
    </row>
    <row r="118" spans="1:4" s="18" customFormat="1" ht="12.75">
      <c r="A118" s="4">
        <f t="shared" si="0"/>
        <v>88</v>
      </c>
      <c r="B118" s="16" t="s">
        <v>44</v>
      </c>
      <c r="C118" s="16" t="s">
        <v>9</v>
      </c>
      <c r="D118" s="17">
        <v>160757</v>
      </c>
    </row>
    <row r="119" spans="1:4" s="18" customFormat="1" ht="12.75">
      <c r="A119" s="4">
        <f t="shared" si="0"/>
        <v>89</v>
      </c>
      <c r="B119" s="16" t="s">
        <v>45</v>
      </c>
      <c r="C119" s="16" t="s">
        <v>9</v>
      </c>
      <c r="D119" s="17">
        <f>D118-D117</f>
        <v>3258.899999999994</v>
      </c>
    </row>
    <row r="120" spans="1:4" s="18" customFormat="1" ht="25.5">
      <c r="A120" s="4">
        <f t="shared" si="0"/>
        <v>90</v>
      </c>
      <c r="B120" s="16" t="s">
        <v>46</v>
      </c>
      <c r="C120" s="16" t="s">
        <v>9</v>
      </c>
      <c r="D120" s="19">
        <v>0</v>
      </c>
    </row>
    <row r="121" spans="1:4" s="18" customFormat="1" ht="16.5" customHeight="1">
      <c r="A121" s="36" t="s">
        <v>47</v>
      </c>
      <c r="B121" s="37"/>
      <c r="C121" s="37"/>
      <c r="D121" s="38"/>
    </row>
    <row r="122" spans="1:4" s="18" customFormat="1" ht="12.75">
      <c r="A122" s="4">
        <v>91</v>
      </c>
      <c r="B122" s="16" t="s">
        <v>27</v>
      </c>
      <c r="C122" s="16" t="s">
        <v>28</v>
      </c>
      <c r="D122" s="19">
        <v>3</v>
      </c>
    </row>
    <row r="123" spans="1:4" s="18" customFormat="1" ht="12.75">
      <c r="A123" s="4">
        <v>92</v>
      </c>
      <c r="B123" s="16" t="s">
        <v>29</v>
      </c>
      <c r="C123" s="16" t="s">
        <v>28</v>
      </c>
      <c r="D123" s="19">
        <v>3</v>
      </c>
    </row>
    <row r="124" spans="1:4" s="18" customFormat="1" ht="12.75">
      <c r="A124" s="4">
        <v>93</v>
      </c>
      <c r="B124" s="16" t="s">
        <v>31</v>
      </c>
      <c r="C124" s="16"/>
      <c r="D124" s="19">
        <v>0</v>
      </c>
    </row>
    <row r="125" spans="1:4" s="18" customFormat="1" ht="12.75">
      <c r="A125" s="4">
        <v>94</v>
      </c>
      <c r="B125" s="16" t="s">
        <v>32</v>
      </c>
      <c r="C125" s="16" t="s">
        <v>9</v>
      </c>
      <c r="D125" s="19">
        <v>9500</v>
      </c>
    </row>
    <row r="126" spans="1:4" s="18" customFormat="1" ht="21" customHeight="1">
      <c r="A126" s="36" t="s">
        <v>48</v>
      </c>
      <c r="B126" s="37"/>
      <c r="C126" s="37"/>
      <c r="D126" s="38"/>
    </row>
    <row r="127" spans="1:4" s="18" customFormat="1" ht="12.75">
      <c r="A127" s="4">
        <v>95</v>
      </c>
      <c r="B127" s="16" t="s">
        <v>49</v>
      </c>
      <c r="C127" s="16" t="s">
        <v>28</v>
      </c>
      <c r="D127" s="19">
        <v>0</v>
      </c>
    </row>
    <row r="128" spans="1:4" s="18" customFormat="1" ht="12.75">
      <c r="A128" s="4">
        <v>96</v>
      </c>
      <c r="B128" s="16" t="s">
        <v>50</v>
      </c>
      <c r="C128" s="16" t="s">
        <v>28</v>
      </c>
      <c r="D128" s="19">
        <v>0</v>
      </c>
    </row>
    <row r="129" spans="1:4" s="18" customFormat="1" ht="25.5">
      <c r="A129" s="4">
        <v>97</v>
      </c>
      <c r="B129" s="16" t="s">
        <v>51</v>
      </c>
      <c r="C129" s="16" t="s">
        <v>9</v>
      </c>
      <c r="D129" s="19">
        <v>0</v>
      </c>
    </row>
    <row r="130" spans="1:4" s="18" customFormat="1" ht="12.75">
      <c r="A130" s="21"/>
      <c r="B130" s="22"/>
      <c r="C130" s="22"/>
      <c r="D130" s="22"/>
    </row>
    <row r="131" spans="1:4" ht="15">
      <c r="A131" s="23"/>
      <c r="B131" s="24"/>
      <c r="C131" s="24"/>
      <c r="D131" s="24"/>
    </row>
    <row r="132" spans="1:4" ht="15">
      <c r="A132" s="23"/>
      <c r="B132" s="24"/>
      <c r="C132" s="24"/>
      <c r="D132" s="24"/>
    </row>
    <row r="133" spans="1:4" ht="15">
      <c r="A133" s="23"/>
      <c r="B133" s="24"/>
      <c r="C133" s="24"/>
      <c r="D133" s="24"/>
    </row>
    <row r="134" spans="1:4" ht="15">
      <c r="A134" s="23"/>
      <c r="B134" s="24"/>
      <c r="C134" s="24"/>
      <c r="D134" s="24"/>
    </row>
    <row r="135" spans="1:4" ht="15">
      <c r="A135" s="23"/>
      <c r="B135" s="24"/>
      <c r="C135" s="24"/>
      <c r="D135" s="24"/>
    </row>
    <row r="136" spans="1:4" ht="15">
      <c r="A136" s="23"/>
      <c r="B136" s="24"/>
      <c r="C136" s="24"/>
      <c r="D136" s="24"/>
    </row>
    <row r="137" spans="1:4" ht="15">
      <c r="A137" s="23"/>
      <c r="B137" s="24"/>
      <c r="C137" s="24"/>
      <c r="D137" s="24"/>
    </row>
    <row r="138" spans="1:4" ht="15">
      <c r="A138" s="23"/>
      <c r="B138" s="24"/>
      <c r="C138" s="24"/>
      <c r="D138" s="24"/>
    </row>
    <row r="139" spans="1:4" ht="15">
      <c r="A139" s="23"/>
      <c r="B139" s="24"/>
      <c r="C139" s="24"/>
      <c r="D139" s="24"/>
    </row>
    <row r="140" spans="1:4" ht="15">
      <c r="A140" s="23"/>
      <c r="B140" s="24"/>
      <c r="C140" s="24"/>
      <c r="D140" s="24"/>
    </row>
    <row r="141" spans="1:4" ht="15">
      <c r="A141" s="23"/>
      <c r="B141" s="24"/>
      <c r="C141" s="24"/>
      <c r="D141" s="24"/>
    </row>
    <row r="142" spans="1:4" ht="15">
      <c r="A142" s="23"/>
      <c r="B142" s="24"/>
      <c r="C142" s="24"/>
      <c r="D142" s="24"/>
    </row>
    <row r="143" spans="1:4" ht="15">
      <c r="A143" s="23"/>
      <c r="B143" s="24"/>
      <c r="C143" s="24"/>
      <c r="D143" s="24"/>
    </row>
    <row r="144" spans="1:4" ht="15">
      <c r="A144" s="23"/>
      <c r="B144" s="24"/>
      <c r="C144" s="24"/>
      <c r="D144" s="24"/>
    </row>
    <row r="145" spans="1:4" ht="15">
      <c r="A145" s="23"/>
      <c r="B145" s="24"/>
      <c r="C145" s="24"/>
      <c r="D145" s="24"/>
    </row>
    <row r="146" spans="1:4" ht="15">
      <c r="A146" s="23"/>
      <c r="B146" s="24"/>
      <c r="C146" s="24"/>
      <c r="D146" s="24"/>
    </row>
    <row r="147" spans="1:4" ht="15">
      <c r="A147" s="23"/>
      <c r="B147" s="24"/>
      <c r="C147" s="24"/>
      <c r="D147" s="24"/>
    </row>
    <row r="148" spans="1:4" ht="15">
      <c r="A148" s="23"/>
      <c r="B148" s="24"/>
      <c r="C148" s="24"/>
      <c r="D148" s="24"/>
    </row>
    <row r="149" spans="1:4" ht="15">
      <c r="A149" s="23"/>
      <c r="B149" s="24"/>
      <c r="C149" s="24"/>
      <c r="D149" s="24"/>
    </row>
    <row r="150" spans="1:4" ht="15">
      <c r="A150" s="23"/>
      <c r="B150" s="24"/>
      <c r="C150" s="24"/>
      <c r="D150" s="24"/>
    </row>
    <row r="151" spans="1:4" ht="15">
      <c r="A151" s="23"/>
      <c r="B151" s="24"/>
      <c r="C151" s="24"/>
      <c r="D151" s="24"/>
    </row>
    <row r="152" spans="1:4" ht="15">
      <c r="A152" s="23"/>
      <c r="B152" s="24"/>
      <c r="C152" s="24"/>
      <c r="D152" s="24"/>
    </row>
    <row r="153" spans="1:4" ht="15">
      <c r="A153" s="23"/>
      <c r="B153" s="24"/>
      <c r="C153" s="24"/>
      <c r="D153" s="24"/>
    </row>
    <row r="154" spans="1:4" ht="15">
      <c r="A154" s="23"/>
      <c r="B154" s="24"/>
      <c r="C154" s="24"/>
      <c r="D154" s="24"/>
    </row>
    <row r="155" spans="1:4" ht="15">
      <c r="A155" s="23"/>
      <c r="B155" s="24"/>
      <c r="C155" s="24"/>
      <c r="D155" s="24"/>
    </row>
    <row r="156" spans="1:4" ht="15">
      <c r="A156" s="23"/>
      <c r="B156" s="24"/>
      <c r="C156" s="24"/>
      <c r="D156" s="24"/>
    </row>
    <row r="157" spans="1:4" ht="15">
      <c r="A157" s="23"/>
      <c r="B157" s="24"/>
      <c r="C157" s="24"/>
      <c r="D157" s="24"/>
    </row>
  </sheetData>
  <sheetProtection/>
  <mergeCells count="8">
    <mergeCell ref="A121:D121"/>
    <mergeCell ref="A126:D126"/>
    <mergeCell ref="A1:D1"/>
    <mergeCell ref="A7:D7"/>
    <mergeCell ref="A25:D25"/>
    <mergeCell ref="A58:D58"/>
    <mergeCell ref="A63:D63"/>
    <mergeCell ref="A70:D70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7"/>
  <sheetViews>
    <sheetView zoomScalePageLayoutView="0" workbookViewId="0" topLeftCell="A31">
      <selection activeCell="E40" sqref="E40"/>
    </sheetView>
  </sheetViews>
  <sheetFormatPr defaultColWidth="9.140625" defaultRowHeight="15"/>
  <cols>
    <col min="1" max="1" width="6.28125" style="25" customWidth="1"/>
    <col min="2" max="2" width="51.42187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6" customHeight="1">
      <c r="A1" s="39" t="s">
        <v>97</v>
      </c>
      <c r="B1" s="39"/>
      <c r="C1" s="39"/>
      <c r="D1" s="39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2.75">
      <c r="A4" s="4">
        <v>1</v>
      </c>
      <c r="B4" s="5" t="s">
        <v>4</v>
      </c>
      <c r="C4" s="4" t="s">
        <v>57</v>
      </c>
      <c r="D4" s="6">
        <v>42825</v>
      </c>
    </row>
    <row r="5" spans="1:4" s="7" customFormat="1" ht="12.75">
      <c r="A5" s="4">
        <v>2</v>
      </c>
      <c r="B5" s="5" t="s">
        <v>5</v>
      </c>
      <c r="C5" s="4" t="s">
        <v>57</v>
      </c>
      <c r="D5" s="6">
        <v>42370</v>
      </c>
    </row>
    <row r="6" spans="1:4" s="7" customFormat="1" ht="12.75">
      <c r="A6" s="4">
        <v>3</v>
      </c>
      <c r="B6" s="5" t="s">
        <v>6</v>
      </c>
      <c r="C6" s="4" t="s">
        <v>57</v>
      </c>
      <c r="D6" s="6">
        <v>42735</v>
      </c>
    </row>
    <row r="7" spans="1:4" s="7" customFormat="1" ht="27.75" customHeight="1">
      <c r="A7" s="36" t="s">
        <v>7</v>
      </c>
      <c r="B7" s="37"/>
      <c r="C7" s="37"/>
      <c r="D7" s="38"/>
    </row>
    <row r="8" spans="1:4" s="7" customFormat="1" ht="12.75">
      <c r="A8" s="4">
        <v>4</v>
      </c>
      <c r="B8" s="5" t="s">
        <v>8</v>
      </c>
      <c r="C8" s="5" t="s">
        <v>9</v>
      </c>
      <c r="D8" s="8">
        <f>D10-D9</f>
        <v>131383.61999999997</v>
      </c>
    </row>
    <row r="9" spans="1:4" s="7" customFormat="1" ht="12.75">
      <c r="A9" s="4">
        <v>5</v>
      </c>
      <c r="B9" s="5" t="s">
        <v>10</v>
      </c>
      <c r="C9" s="5" t="s">
        <v>9</v>
      </c>
      <c r="D9" s="9">
        <f>312.41+3.03+698.06+7.43+2946.31+28.67+184.27+880.4+69.62</f>
        <v>5130.2</v>
      </c>
    </row>
    <row r="10" spans="1:4" s="7" customFormat="1" ht="12.75">
      <c r="A10" s="4">
        <v>6</v>
      </c>
      <c r="B10" s="5" t="s">
        <v>11</v>
      </c>
      <c r="C10" s="5" t="s">
        <v>9</v>
      </c>
      <c r="D10" s="9">
        <f>15.41+0.15+6225+0.37+94021.63+920.73+5755.4+0.02+27501.62+2073.49</f>
        <v>136513.81999999998</v>
      </c>
    </row>
    <row r="11" spans="1:4" s="7" customFormat="1" ht="25.5">
      <c r="A11" s="4">
        <v>7</v>
      </c>
      <c r="B11" s="5" t="s">
        <v>12</v>
      </c>
      <c r="C11" s="5"/>
      <c r="D11" s="8">
        <f>309.75+3+6820+737+33980+911646.37+8225.72+49371.78+212128.94+20271.41+123678</f>
        <v>1367171.97</v>
      </c>
    </row>
    <row r="12" spans="1:4" s="7" customFormat="1" ht="12.75">
      <c r="A12" s="4">
        <v>8</v>
      </c>
      <c r="B12" s="5" t="s">
        <v>13</v>
      </c>
      <c r="C12" s="5" t="s">
        <v>9</v>
      </c>
      <c r="D12" s="8">
        <f>D11-D14</f>
        <v>1328061.97</v>
      </c>
    </row>
    <row r="13" spans="1:4" s="7" customFormat="1" ht="12.75">
      <c r="A13" s="4">
        <v>9</v>
      </c>
      <c r="B13" s="5" t="s">
        <v>14</v>
      </c>
      <c r="C13" s="5" t="s">
        <v>9</v>
      </c>
      <c r="D13" s="8">
        <v>0</v>
      </c>
    </row>
    <row r="14" spans="1:4" s="7" customFormat="1" ht="12.75">
      <c r="A14" s="4">
        <v>10</v>
      </c>
      <c r="B14" s="5" t="s">
        <v>15</v>
      </c>
      <c r="C14" s="5" t="s">
        <v>9</v>
      </c>
      <c r="D14" s="8">
        <v>39110</v>
      </c>
    </row>
    <row r="15" spans="1:4" s="7" customFormat="1" ht="12.75">
      <c r="A15" s="4">
        <v>11</v>
      </c>
      <c r="B15" s="5" t="s">
        <v>16</v>
      </c>
      <c r="C15" s="5" t="s">
        <v>9</v>
      </c>
      <c r="D15" s="8">
        <f>SUM(D16:D20)</f>
        <v>1262343.31</v>
      </c>
    </row>
    <row r="16" spans="1:4" s="7" customFormat="1" ht="12.75">
      <c r="A16" s="4">
        <v>12</v>
      </c>
      <c r="B16" s="5" t="s">
        <v>17</v>
      </c>
      <c r="C16" s="5" t="s">
        <v>9</v>
      </c>
      <c r="D16" s="8">
        <f>12.75+0.12+10452.67+0.31+28960.57+909823.75+8310.79+50110.52+218733.34+20352.17</f>
        <v>1246756.99</v>
      </c>
    </row>
    <row r="17" spans="1:4" s="7" customFormat="1" ht="12.75">
      <c r="A17" s="4">
        <v>13</v>
      </c>
      <c r="B17" s="5" t="s">
        <v>18</v>
      </c>
      <c r="C17" s="5" t="s">
        <v>9</v>
      </c>
      <c r="D17" s="8">
        <v>0</v>
      </c>
    </row>
    <row r="18" spans="1:4" s="7" customFormat="1" ht="12.75">
      <c r="A18" s="4">
        <v>14</v>
      </c>
      <c r="B18" s="5" t="s">
        <v>19</v>
      </c>
      <c r="C18" s="5" t="s">
        <v>9</v>
      </c>
      <c r="D18" s="8">
        <v>0</v>
      </c>
    </row>
    <row r="19" spans="1:4" s="7" customFormat="1" ht="12.75">
      <c r="A19" s="4">
        <v>15</v>
      </c>
      <c r="B19" s="5" t="s">
        <v>20</v>
      </c>
      <c r="C19" s="5" t="s">
        <v>9</v>
      </c>
      <c r="D19" s="8">
        <v>15586.32</v>
      </c>
    </row>
    <row r="20" spans="1:4" s="7" customFormat="1" ht="12.75">
      <c r="A20" s="4">
        <v>16</v>
      </c>
      <c r="B20" s="5" t="s">
        <v>21</v>
      </c>
      <c r="C20" s="5" t="s">
        <v>9</v>
      </c>
      <c r="D20" s="8">
        <v>0</v>
      </c>
    </row>
    <row r="21" spans="1:4" s="7" customFormat="1" ht="12.75">
      <c r="A21" s="4">
        <v>17</v>
      </c>
      <c r="B21" s="5" t="s">
        <v>22</v>
      </c>
      <c r="C21" s="5" t="s">
        <v>9</v>
      </c>
      <c r="D21" s="8">
        <f>D8+D15</f>
        <v>1393726.93</v>
      </c>
    </row>
    <row r="22" spans="1:4" s="7" customFormat="1" ht="13.5" customHeight="1">
      <c r="A22" s="4">
        <v>18</v>
      </c>
      <c r="B22" s="5" t="s">
        <v>23</v>
      </c>
      <c r="C22" s="5" t="s">
        <v>9</v>
      </c>
      <c r="D22" s="8">
        <f>D24-D23</f>
        <v>127391.57</v>
      </c>
    </row>
    <row r="23" spans="1:4" s="7" customFormat="1" ht="12.75">
      <c r="A23" s="4">
        <v>19</v>
      </c>
      <c r="B23" s="5" t="s">
        <v>10</v>
      </c>
      <c r="C23" s="5" t="s">
        <v>9</v>
      </c>
      <c r="D23" s="9">
        <f>1.14+75.75+0.67+3.97+16.57+1.65</f>
        <v>99.75</v>
      </c>
    </row>
    <row r="24" spans="1:4" s="7" customFormat="1" ht="12.75">
      <c r="A24" s="4">
        <v>20</v>
      </c>
      <c r="B24" s="5" t="s">
        <v>11</v>
      </c>
      <c r="C24" s="5" t="s">
        <v>9</v>
      </c>
      <c r="D24" s="9">
        <f>1894.87+5020.57+92973.69+807.66+4836.36+0.02+20033.39+1924.76</f>
        <v>127491.32</v>
      </c>
    </row>
    <row r="25" spans="1:4" s="7" customFormat="1" ht="26.25" customHeight="1">
      <c r="A25" s="36" t="s">
        <v>24</v>
      </c>
      <c r="B25" s="37"/>
      <c r="C25" s="37"/>
      <c r="D25" s="38"/>
    </row>
    <row r="26" spans="1:4" s="7" customFormat="1" ht="27.75" customHeight="1">
      <c r="A26" s="4">
        <v>21</v>
      </c>
      <c r="B26" s="5" t="s">
        <v>62</v>
      </c>
      <c r="C26" s="5" t="s">
        <v>9</v>
      </c>
      <c r="D26" s="8">
        <v>94158</v>
      </c>
    </row>
    <row r="27" spans="1:4" s="7" customFormat="1" ht="19.5" customHeight="1">
      <c r="A27" s="4"/>
      <c r="B27" s="5" t="s">
        <v>63</v>
      </c>
      <c r="C27" s="5" t="s">
        <v>65</v>
      </c>
      <c r="D27" s="34">
        <f>D26/12/5571.2</f>
        <v>1.4084039345203907</v>
      </c>
    </row>
    <row r="28" spans="1:4" s="7" customFormat="1" ht="14.25" customHeight="1">
      <c r="A28" s="4"/>
      <c r="B28" s="5" t="s">
        <v>25</v>
      </c>
      <c r="C28" s="5"/>
      <c r="D28" s="4" t="s">
        <v>64</v>
      </c>
    </row>
    <row r="29" spans="1:4" s="7" customFormat="1" ht="26.25" customHeight="1">
      <c r="A29" s="4">
        <v>22</v>
      </c>
      <c r="B29" s="5" t="s">
        <v>66</v>
      </c>
      <c r="C29" s="5" t="s">
        <v>9</v>
      </c>
      <c r="D29" s="8">
        <v>231446</v>
      </c>
    </row>
    <row r="30" spans="1:4" s="7" customFormat="1" ht="14.25" customHeight="1">
      <c r="A30" s="4"/>
      <c r="B30" s="10" t="s">
        <v>67</v>
      </c>
      <c r="C30" s="5" t="s">
        <v>65</v>
      </c>
      <c r="D30" s="11">
        <f>D29/12/5571.2</f>
        <v>3.461941173654988</v>
      </c>
    </row>
    <row r="31" spans="1:4" s="7" customFormat="1" ht="14.25" customHeight="1">
      <c r="A31" s="12"/>
      <c r="B31" s="5" t="s">
        <v>25</v>
      </c>
      <c r="C31" s="5"/>
      <c r="D31" s="4" t="s">
        <v>68</v>
      </c>
    </row>
    <row r="32" spans="1:4" s="7" customFormat="1" ht="26.25" customHeight="1">
      <c r="A32" s="4">
        <v>23</v>
      </c>
      <c r="B32" s="5" t="s">
        <v>69</v>
      </c>
      <c r="C32" s="5" t="s">
        <v>9</v>
      </c>
      <c r="D32" s="8">
        <v>8311</v>
      </c>
    </row>
    <row r="33" spans="1:4" s="7" customFormat="1" ht="14.25" customHeight="1">
      <c r="A33" s="4"/>
      <c r="B33" s="10" t="s">
        <v>70</v>
      </c>
      <c r="C33" s="5" t="s">
        <v>65</v>
      </c>
      <c r="D33" s="11">
        <v>0.14</v>
      </c>
    </row>
    <row r="34" spans="1:4" s="7" customFormat="1" ht="14.25" customHeight="1">
      <c r="A34" s="12"/>
      <c r="B34" s="5" t="s">
        <v>25</v>
      </c>
      <c r="C34" s="5"/>
      <c r="D34" s="4" t="s">
        <v>71</v>
      </c>
    </row>
    <row r="35" spans="1:4" s="7" customFormat="1" ht="40.5" customHeight="1">
      <c r="A35" s="4">
        <v>24</v>
      </c>
      <c r="B35" s="5" t="s">
        <v>90</v>
      </c>
      <c r="C35" s="5" t="s">
        <v>9</v>
      </c>
      <c r="D35" s="8">
        <f>235920+30505</f>
        <v>266425</v>
      </c>
    </row>
    <row r="36" spans="1:4" s="7" customFormat="1" ht="14.25" customHeight="1">
      <c r="A36" s="4"/>
      <c r="B36" s="10" t="s">
        <v>72</v>
      </c>
      <c r="C36" s="5" t="s">
        <v>65</v>
      </c>
      <c r="D36" s="11">
        <f>235920/12/5571.2</f>
        <v>3.528862722573234</v>
      </c>
    </row>
    <row r="37" spans="1:4" s="7" customFormat="1" ht="14.25" customHeight="1">
      <c r="A37" s="12"/>
      <c r="B37" s="5" t="s">
        <v>25</v>
      </c>
      <c r="C37" s="5"/>
      <c r="D37" s="4" t="s">
        <v>73</v>
      </c>
    </row>
    <row r="38" spans="1:4" s="7" customFormat="1" ht="14.25" customHeight="1">
      <c r="A38" s="4"/>
      <c r="B38" s="10" t="s">
        <v>74</v>
      </c>
      <c r="C38" s="5" t="s">
        <v>65</v>
      </c>
      <c r="D38" s="11">
        <f>30505/12/5571.2</f>
        <v>0.4562900871146851</v>
      </c>
    </row>
    <row r="39" spans="1:4" s="7" customFormat="1" ht="14.25" customHeight="1">
      <c r="A39" s="12"/>
      <c r="B39" s="5" t="s">
        <v>25</v>
      </c>
      <c r="C39" s="5"/>
      <c r="D39" s="4" t="s">
        <v>73</v>
      </c>
    </row>
    <row r="40" spans="1:4" s="7" customFormat="1" ht="25.5" customHeight="1">
      <c r="A40" s="4">
        <v>25</v>
      </c>
      <c r="B40" s="5" t="s">
        <v>89</v>
      </c>
      <c r="C40" s="5" t="s">
        <v>9</v>
      </c>
      <c r="D40" s="8">
        <v>76502</v>
      </c>
    </row>
    <row r="41" spans="1:4" s="7" customFormat="1" ht="28.5" customHeight="1">
      <c r="A41" s="4"/>
      <c r="B41" s="10" t="s">
        <v>93</v>
      </c>
      <c r="C41" s="5" t="s">
        <v>65</v>
      </c>
      <c r="D41" s="11">
        <f>D40/12/5571.2</f>
        <v>1.1443076297147234</v>
      </c>
    </row>
    <row r="42" spans="1:4" s="7" customFormat="1" ht="14.25" customHeight="1">
      <c r="A42" s="12"/>
      <c r="B42" s="5" t="s">
        <v>25</v>
      </c>
      <c r="C42" s="5"/>
      <c r="D42" s="4" t="s">
        <v>73</v>
      </c>
    </row>
    <row r="43" spans="1:4" s="7" customFormat="1" ht="54" customHeight="1">
      <c r="A43" s="4">
        <v>26</v>
      </c>
      <c r="B43" s="5" t="s">
        <v>77</v>
      </c>
      <c r="C43" s="5" t="s">
        <v>9</v>
      </c>
      <c r="D43" s="8">
        <v>302601</v>
      </c>
    </row>
    <row r="44" spans="1:4" s="7" customFormat="1" ht="14.25" customHeight="1">
      <c r="A44" s="4"/>
      <c r="B44" s="10" t="s">
        <v>78</v>
      </c>
      <c r="C44" s="5" t="s">
        <v>65</v>
      </c>
      <c r="D44" s="11">
        <f>D43/12/5571.2</f>
        <v>4.526269026421597</v>
      </c>
    </row>
    <row r="45" spans="1:4" s="7" customFormat="1" ht="14.25" customHeight="1">
      <c r="A45" s="12"/>
      <c r="B45" s="5" t="s">
        <v>25</v>
      </c>
      <c r="C45" s="5"/>
      <c r="D45" s="4" t="s">
        <v>68</v>
      </c>
    </row>
    <row r="46" spans="1:4" s="7" customFormat="1" ht="16.5" customHeight="1">
      <c r="A46" s="4">
        <v>27</v>
      </c>
      <c r="B46" s="5" t="s">
        <v>79</v>
      </c>
      <c r="C46" s="5" t="s">
        <v>9</v>
      </c>
      <c r="D46" s="8">
        <v>49384</v>
      </c>
    </row>
    <row r="47" spans="1:4" s="7" customFormat="1" ht="14.25" customHeight="1">
      <c r="A47" s="4"/>
      <c r="B47" s="10" t="s">
        <v>80</v>
      </c>
      <c r="C47" s="5" t="s">
        <v>65</v>
      </c>
      <c r="D47" s="11">
        <f>D46/12/5571.2</f>
        <v>0.7386798774650584</v>
      </c>
    </row>
    <row r="48" spans="1:4" s="7" customFormat="1" ht="14.25" customHeight="1">
      <c r="A48" s="12"/>
      <c r="B48" s="5" t="s">
        <v>25</v>
      </c>
      <c r="C48" s="5"/>
      <c r="D48" s="4" t="s">
        <v>81</v>
      </c>
    </row>
    <row r="49" spans="1:4" s="7" customFormat="1" ht="29.25" customHeight="1">
      <c r="A49" s="4">
        <v>28</v>
      </c>
      <c r="B49" s="5" t="s">
        <v>82</v>
      </c>
      <c r="C49" s="5" t="s">
        <v>9</v>
      </c>
      <c r="D49" s="8">
        <v>209484</v>
      </c>
    </row>
    <row r="50" spans="1:4" s="7" customFormat="1" ht="14.25" customHeight="1">
      <c r="A50" s="4"/>
      <c r="B50" s="10" t="s">
        <v>83</v>
      </c>
      <c r="C50" s="5" t="s">
        <v>65</v>
      </c>
      <c r="D50" s="11">
        <f>D49/12/5571.2</f>
        <v>3.1334362435381964</v>
      </c>
    </row>
    <row r="51" spans="1:4" s="7" customFormat="1" ht="14.25" customHeight="1">
      <c r="A51" s="12"/>
      <c r="B51" s="5" t="s">
        <v>25</v>
      </c>
      <c r="C51" s="5"/>
      <c r="D51" s="4" t="s">
        <v>68</v>
      </c>
    </row>
    <row r="52" spans="1:4" s="7" customFormat="1" ht="25.5" customHeight="1">
      <c r="A52" s="4">
        <v>29</v>
      </c>
      <c r="B52" s="5" t="s">
        <v>84</v>
      </c>
      <c r="C52" s="5" t="s">
        <v>9</v>
      </c>
      <c r="D52" s="8">
        <v>28022</v>
      </c>
    </row>
    <row r="53" spans="1:4" s="7" customFormat="1" ht="28.5" customHeight="1">
      <c r="A53" s="4"/>
      <c r="B53" s="10" t="s">
        <v>85</v>
      </c>
      <c r="C53" s="5" t="s">
        <v>65</v>
      </c>
      <c r="D53" s="11">
        <f>D52/12/5571.2</f>
        <v>0.4191496745165614</v>
      </c>
    </row>
    <row r="54" spans="1:4" s="7" customFormat="1" ht="14.25" customHeight="1">
      <c r="A54" s="12"/>
      <c r="B54" s="5" t="s">
        <v>25</v>
      </c>
      <c r="C54" s="5"/>
      <c r="D54" s="4" t="s">
        <v>73</v>
      </c>
    </row>
    <row r="55" spans="1:4" s="7" customFormat="1" ht="28.5" customHeight="1">
      <c r="A55" s="4">
        <v>30</v>
      </c>
      <c r="B55" s="5" t="s">
        <v>86</v>
      </c>
      <c r="C55" s="5" t="s">
        <v>9</v>
      </c>
      <c r="D55" s="8">
        <f>19643.14+4009</f>
        <v>23652.14</v>
      </c>
    </row>
    <row r="56" spans="1:4" s="7" customFormat="1" ht="26.25" customHeight="1">
      <c r="A56" s="4"/>
      <c r="B56" s="10" t="s">
        <v>87</v>
      </c>
      <c r="C56" s="5" t="s">
        <v>65</v>
      </c>
      <c r="D56" s="11">
        <f>D55/12/5571.2</f>
        <v>0.3537858390771587</v>
      </c>
    </row>
    <row r="57" spans="1:4" s="7" customFormat="1" ht="27.75" customHeight="1">
      <c r="A57" s="12"/>
      <c r="B57" s="5" t="s">
        <v>25</v>
      </c>
      <c r="C57" s="5"/>
      <c r="D57" s="4" t="s">
        <v>88</v>
      </c>
    </row>
    <row r="58" spans="1:4" s="7" customFormat="1" ht="16.5" customHeight="1">
      <c r="A58" s="36" t="s">
        <v>26</v>
      </c>
      <c r="B58" s="37"/>
      <c r="C58" s="37"/>
      <c r="D58" s="38"/>
    </row>
    <row r="59" spans="1:4" s="7" customFormat="1" ht="14.25" customHeight="1">
      <c r="A59" s="4">
        <f>A55+1</f>
        <v>31</v>
      </c>
      <c r="B59" s="5" t="s">
        <v>27</v>
      </c>
      <c r="C59" s="5" t="s">
        <v>28</v>
      </c>
      <c r="D59" s="4">
        <v>0</v>
      </c>
    </row>
    <row r="60" spans="1:4" s="7" customFormat="1" ht="14.25" customHeight="1">
      <c r="A60" s="4">
        <f>A59+1</f>
        <v>32</v>
      </c>
      <c r="B60" s="5" t="s">
        <v>29</v>
      </c>
      <c r="C60" s="5" t="s">
        <v>30</v>
      </c>
      <c r="D60" s="4">
        <v>0</v>
      </c>
    </row>
    <row r="61" spans="1:4" s="7" customFormat="1" ht="14.25" customHeight="1">
      <c r="A61" s="4">
        <f>A60+1</f>
        <v>33</v>
      </c>
      <c r="B61" s="5" t="s">
        <v>31</v>
      </c>
      <c r="C61" s="5" t="s">
        <v>28</v>
      </c>
      <c r="D61" s="4">
        <v>0</v>
      </c>
    </row>
    <row r="62" spans="1:4" s="7" customFormat="1" ht="14.25" customHeight="1">
      <c r="A62" s="4">
        <f>A61+1</f>
        <v>34</v>
      </c>
      <c r="B62" s="5" t="s">
        <v>32</v>
      </c>
      <c r="C62" s="5" t="s">
        <v>9</v>
      </c>
      <c r="D62" s="4">
        <v>0</v>
      </c>
    </row>
    <row r="63" spans="1:4" s="7" customFormat="1" ht="17.25" customHeight="1">
      <c r="A63" s="36" t="s">
        <v>33</v>
      </c>
      <c r="B63" s="37"/>
      <c r="C63" s="37"/>
      <c r="D63" s="38"/>
    </row>
    <row r="64" spans="1:4" s="7" customFormat="1" ht="25.5">
      <c r="A64" s="4">
        <f>A62+1</f>
        <v>35</v>
      </c>
      <c r="B64" s="5" t="s">
        <v>34</v>
      </c>
      <c r="C64" s="5" t="s">
        <v>9</v>
      </c>
      <c r="D64" s="8">
        <f>D66-D65</f>
        <v>153416.36000000002</v>
      </c>
    </row>
    <row r="65" spans="1:4" s="7" customFormat="1" ht="15" customHeight="1">
      <c r="A65" s="4">
        <f>A64+1</f>
        <v>36</v>
      </c>
      <c r="B65" s="5" t="s">
        <v>10</v>
      </c>
      <c r="C65" s="5" t="s">
        <v>9</v>
      </c>
      <c r="D65" s="8">
        <f>4981.93+6119.71+142.79+124.72+526.43</f>
        <v>11895.58</v>
      </c>
    </row>
    <row r="66" spans="1:4" s="7" customFormat="1" ht="15" customHeight="1">
      <c r="A66" s="4">
        <f>A65+1</f>
        <v>37</v>
      </c>
      <c r="B66" s="5" t="s">
        <v>11</v>
      </c>
      <c r="C66" s="5" t="s">
        <v>9</v>
      </c>
      <c r="D66" s="8">
        <f>57118.73+23726.01+17758.47+15961.52+50747.21</f>
        <v>165311.94</v>
      </c>
    </row>
    <row r="67" spans="1:4" s="7" customFormat="1" ht="25.5">
      <c r="A67" s="4">
        <f>A66+1</f>
        <v>38</v>
      </c>
      <c r="B67" s="5" t="s">
        <v>35</v>
      </c>
      <c r="C67" s="5" t="s">
        <v>9</v>
      </c>
      <c r="D67" s="8">
        <f>D69-D68</f>
        <v>153514.24</v>
      </c>
    </row>
    <row r="68" spans="1:4" s="7" customFormat="1" ht="13.5" customHeight="1">
      <c r="A68" s="4">
        <f>A67+1</f>
        <v>39</v>
      </c>
      <c r="B68" s="5" t="s">
        <v>10</v>
      </c>
      <c r="C68" s="5" t="s">
        <v>9</v>
      </c>
      <c r="D68" s="8">
        <f>747.16+5951.65+22.68+60.09+128.37</f>
        <v>6909.95</v>
      </c>
    </row>
    <row r="69" spans="1:5" s="7" customFormat="1" ht="13.5" customHeight="1">
      <c r="A69" s="4">
        <f>A68+1</f>
        <v>40</v>
      </c>
      <c r="B69" s="5" t="s">
        <v>11</v>
      </c>
      <c r="C69" s="5" t="s">
        <v>9</v>
      </c>
      <c r="D69" s="8">
        <f>56516.48+25643.3+18799.22+15647.63+43817.56</f>
        <v>160424.19</v>
      </c>
      <c r="E69" s="14"/>
    </row>
    <row r="70" spans="1:4" s="7" customFormat="1" ht="18" customHeight="1">
      <c r="A70" s="36" t="s">
        <v>52</v>
      </c>
      <c r="B70" s="37"/>
      <c r="C70" s="37"/>
      <c r="D70" s="38"/>
    </row>
    <row r="71" spans="1:4" s="7" customFormat="1" ht="12.75">
      <c r="A71" s="4">
        <f>A69+1</f>
        <v>41</v>
      </c>
      <c r="B71" s="5" t="s">
        <v>36</v>
      </c>
      <c r="C71" s="5"/>
      <c r="D71" s="15" t="s">
        <v>53</v>
      </c>
    </row>
    <row r="72" spans="1:4" s="7" customFormat="1" ht="12.75">
      <c r="A72" s="4">
        <f>A71+1</f>
        <v>42</v>
      </c>
      <c r="B72" s="5" t="s">
        <v>37</v>
      </c>
      <c r="C72" s="5"/>
      <c r="D72" s="4" t="s">
        <v>59</v>
      </c>
    </row>
    <row r="73" spans="1:4" s="7" customFormat="1" ht="12.75">
      <c r="A73" s="4">
        <f aca="true" t="shared" si="0" ref="A73:A120">A72+1</f>
        <v>43</v>
      </c>
      <c r="B73" s="5" t="s">
        <v>38</v>
      </c>
      <c r="C73" s="5" t="s">
        <v>39</v>
      </c>
      <c r="D73" s="4">
        <f>(22.151+19.513+17.367+16.201+17.929+16.104+22.262+13.083+13.656+17.922+19.52+17.455)*1000</f>
        <v>213163</v>
      </c>
    </row>
    <row r="74" spans="1:4" s="7" customFormat="1" ht="12.75">
      <c r="A74" s="4">
        <f t="shared" si="0"/>
        <v>44</v>
      </c>
      <c r="B74" s="5" t="s">
        <v>40</v>
      </c>
      <c r="C74" s="5" t="s">
        <v>9</v>
      </c>
      <c r="D74" s="8">
        <v>438689.66</v>
      </c>
    </row>
    <row r="75" spans="1:4" s="7" customFormat="1" ht="12.75">
      <c r="A75" s="4">
        <f t="shared" si="0"/>
        <v>45</v>
      </c>
      <c r="B75" s="5" t="s">
        <v>41</v>
      </c>
      <c r="C75" s="5" t="s">
        <v>9</v>
      </c>
      <c r="D75" s="8">
        <v>445221.25</v>
      </c>
    </row>
    <row r="76" spans="1:4" s="7" customFormat="1" ht="12.75">
      <c r="A76" s="4">
        <f t="shared" si="0"/>
        <v>46</v>
      </c>
      <c r="B76" s="5" t="s">
        <v>42</v>
      </c>
      <c r="C76" s="5" t="s">
        <v>9</v>
      </c>
      <c r="D76" s="8">
        <f>D74-D75</f>
        <v>-6531.590000000026</v>
      </c>
    </row>
    <row r="77" spans="1:4" s="18" customFormat="1" ht="12.75">
      <c r="A77" s="4">
        <f t="shared" si="0"/>
        <v>47</v>
      </c>
      <c r="B77" s="16" t="s">
        <v>43</v>
      </c>
      <c r="C77" s="16" t="s">
        <v>9</v>
      </c>
      <c r="D77" s="17">
        <f>438370.91+5912.25</f>
        <v>444283.16</v>
      </c>
    </row>
    <row r="78" spans="1:4" s="18" customFormat="1" ht="12.75">
      <c r="A78" s="4">
        <f t="shared" si="0"/>
        <v>48</v>
      </c>
      <c r="B78" s="16" t="s">
        <v>44</v>
      </c>
      <c r="C78" s="16" t="s">
        <v>9</v>
      </c>
      <c r="D78" s="17">
        <v>447183</v>
      </c>
    </row>
    <row r="79" spans="1:4" s="18" customFormat="1" ht="12.75">
      <c r="A79" s="4">
        <f t="shared" si="0"/>
        <v>49</v>
      </c>
      <c r="B79" s="16" t="s">
        <v>45</v>
      </c>
      <c r="C79" s="16" t="s">
        <v>9</v>
      </c>
      <c r="D79" s="17">
        <f>D78-D77</f>
        <v>2899.8400000000256</v>
      </c>
    </row>
    <row r="80" spans="1:4" s="18" customFormat="1" ht="25.5">
      <c r="A80" s="4">
        <f t="shared" si="0"/>
        <v>50</v>
      </c>
      <c r="B80" s="16" t="s">
        <v>46</v>
      </c>
      <c r="C80" s="16" t="s">
        <v>9</v>
      </c>
      <c r="D80" s="19">
        <v>0</v>
      </c>
    </row>
    <row r="81" spans="1:4" s="7" customFormat="1" ht="24">
      <c r="A81" s="4">
        <f t="shared" si="0"/>
        <v>51</v>
      </c>
      <c r="B81" s="5" t="s">
        <v>36</v>
      </c>
      <c r="C81" s="5"/>
      <c r="D81" s="15" t="s">
        <v>54</v>
      </c>
    </row>
    <row r="82" spans="1:4" s="7" customFormat="1" ht="12.75">
      <c r="A82" s="4">
        <f t="shared" si="0"/>
        <v>52</v>
      </c>
      <c r="B82" s="5" t="s">
        <v>37</v>
      </c>
      <c r="C82" s="5"/>
      <c r="D82" s="4" t="s">
        <v>60</v>
      </c>
    </row>
    <row r="83" spans="1:4" s="7" customFormat="1" ht="12.75">
      <c r="A83" s="4">
        <f t="shared" si="0"/>
        <v>53</v>
      </c>
      <c r="B83" s="5" t="s">
        <v>38</v>
      </c>
      <c r="C83" s="5" t="s">
        <v>39</v>
      </c>
      <c r="D83" s="4">
        <f>45.486+610.514+46.754+608.246+43.199+625.801+113.26+549.74+37990+575.01+26.01+637.99+33.01+562.99+41.817+581.183+62.463+478.537+49.11+592.89+46.22+624.78+58.772+566.228</f>
        <v>45570.01</v>
      </c>
    </row>
    <row r="84" spans="1:4" s="7" customFormat="1" ht="12.75">
      <c r="A84" s="4">
        <f t="shared" si="0"/>
        <v>54</v>
      </c>
      <c r="B84" s="5" t="s">
        <v>40</v>
      </c>
      <c r="C84" s="5" t="s">
        <v>9</v>
      </c>
      <c r="D84" s="8">
        <v>227376.7</v>
      </c>
    </row>
    <row r="85" spans="1:4" s="7" customFormat="1" ht="12.75">
      <c r="A85" s="4">
        <f t="shared" si="0"/>
        <v>55</v>
      </c>
      <c r="B85" s="5" t="s">
        <v>41</v>
      </c>
      <c r="C85" s="5" t="s">
        <v>9</v>
      </c>
      <c r="D85" s="8">
        <v>225291.35</v>
      </c>
    </row>
    <row r="86" spans="1:4" s="7" customFormat="1" ht="12.75">
      <c r="A86" s="4">
        <f t="shared" si="0"/>
        <v>56</v>
      </c>
      <c r="B86" s="5" t="s">
        <v>42</v>
      </c>
      <c r="C86" s="5" t="s">
        <v>9</v>
      </c>
      <c r="D86" s="8">
        <f>D84-D85</f>
        <v>2085.350000000006</v>
      </c>
    </row>
    <row r="87" spans="1:4" s="18" customFormat="1" ht="12.75">
      <c r="A87" s="4">
        <f t="shared" si="0"/>
        <v>57</v>
      </c>
      <c r="B87" s="16" t="s">
        <v>43</v>
      </c>
      <c r="C87" s="16" t="s">
        <v>9</v>
      </c>
      <c r="D87" s="17">
        <v>215961.12</v>
      </c>
    </row>
    <row r="88" spans="1:4" s="18" customFormat="1" ht="12.75">
      <c r="A88" s="4">
        <f t="shared" si="0"/>
        <v>58</v>
      </c>
      <c r="B88" s="16" t="s">
        <v>44</v>
      </c>
      <c r="C88" s="16" t="s">
        <v>9</v>
      </c>
      <c r="D88" s="17">
        <v>221831</v>
      </c>
    </row>
    <row r="89" spans="1:4" s="18" customFormat="1" ht="12.75">
      <c r="A89" s="4">
        <f t="shared" si="0"/>
        <v>59</v>
      </c>
      <c r="B89" s="16" t="s">
        <v>45</v>
      </c>
      <c r="C89" s="16" t="s">
        <v>9</v>
      </c>
      <c r="D89" s="17">
        <f>D88-D87</f>
        <v>5869.880000000005</v>
      </c>
    </row>
    <row r="90" spans="1:4" s="18" customFormat="1" ht="25.5">
      <c r="A90" s="4">
        <f t="shared" si="0"/>
        <v>60</v>
      </c>
      <c r="B90" s="16" t="s">
        <v>46</v>
      </c>
      <c r="C90" s="16" t="s">
        <v>9</v>
      </c>
      <c r="D90" s="19">
        <v>0</v>
      </c>
    </row>
    <row r="91" spans="1:4" s="7" customFormat="1" ht="25.5">
      <c r="A91" s="4">
        <f t="shared" si="0"/>
        <v>61</v>
      </c>
      <c r="B91" s="5" t="s">
        <v>36</v>
      </c>
      <c r="C91" s="5"/>
      <c r="D91" s="20" t="s">
        <v>55</v>
      </c>
    </row>
    <row r="92" spans="1:4" s="7" customFormat="1" ht="12.75">
      <c r="A92" s="4">
        <f t="shared" si="0"/>
        <v>62</v>
      </c>
      <c r="B92" s="5" t="s">
        <v>37</v>
      </c>
      <c r="C92" s="5"/>
      <c r="D92" s="4" t="s">
        <v>60</v>
      </c>
    </row>
    <row r="93" spans="1:4" s="7" customFormat="1" ht="12.75">
      <c r="A93" s="4">
        <f t="shared" si="0"/>
        <v>63</v>
      </c>
      <c r="B93" s="5" t="s">
        <v>38</v>
      </c>
      <c r="C93" s="5" t="s">
        <v>39</v>
      </c>
      <c r="D93" s="4">
        <v>3481</v>
      </c>
    </row>
    <row r="94" spans="1:4" s="7" customFormat="1" ht="12.75">
      <c r="A94" s="4">
        <f t="shared" si="0"/>
        <v>64</v>
      </c>
      <c r="B94" s="5" t="s">
        <v>40</v>
      </c>
      <c r="C94" s="5" t="s">
        <v>9</v>
      </c>
      <c r="D94" s="8">
        <v>120580.53</v>
      </c>
    </row>
    <row r="95" spans="1:4" s="7" customFormat="1" ht="12.75">
      <c r="A95" s="4">
        <f t="shared" si="0"/>
        <v>65</v>
      </c>
      <c r="B95" s="5" t="s">
        <v>41</v>
      </c>
      <c r="C95" s="5" t="s">
        <v>9</v>
      </c>
      <c r="D95" s="8">
        <v>120829.79</v>
      </c>
    </row>
    <row r="96" spans="1:4" s="7" customFormat="1" ht="12.75">
      <c r="A96" s="4">
        <f t="shared" si="0"/>
        <v>66</v>
      </c>
      <c r="B96" s="5" t="s">
        <v>42</v>
      </c>
      <c r="C96" s="5" t="s">
        <v>9</v>
      </c>
      <c r="D96" s="8">
        <f>D94-D95</f>
        <v>-249.25999999999476</v>
      </c>
    </row>
    <row r="97" spans="1:4" s="18" customFormat="1" ht="12.75">
      <c r="A97" s="4">
        <f t="shared" si="0"/>
        <v>67</v>
      </c>
      <c r="B97" s="16" t="s">
        <v>43</v>
      </c>
      <c r="C97" s="16" t="s">
        <v>9</v>
      </c>
      <c r="D97" s="17">
        <f>151695.47+11287.38+5215.64</f>
        <v>168198.49000000002</v>
      </c>
    </row>
    <row r="98" spans="1:4" s="18" customFormat="1" ht="12.75">
      <c r="A98" s="4">
        <f t="shared" si="0"/>
        <v>68</v>
      </c>
      <c r="B98" s="16" t="s">
        <v>44</v>
      </c>
      <c r="C98" s="16" t="s">
        <v>9</v>
      </c>
      <c r="D98" s="17">
        <v>160178</v>
      </c>
    </row>
    <row r="99" spans="1:4" s="18" customFormat="1" ht="12.75">
      <c r="A99" s="4">
        <f t="shared" si="0"/>
        <v>69</v>
      </c>
      <c r="B99" s="16" t="s">
        <v>45</v>
      </c>
      <c r="C99" s="16" t="s">
        <v>9</v>
      </c>
      <c r="D99" s="17">
        <f>D98-D97</f>
        <v>-8020.49000000002</v>
      </c>
    </row>
    <row r="100" spans="1:4" s="18" customFormat="1" ht="25.5">
      <c r="A100" s="4">
        <f t="shared" si="0"/>
        <v>70</v>
      </c>
      <c r="B100" s="16" t="s">
        <v>46</v>
      </c>
      <c r="C100" s="16" t="s">
        <v>9</v>
      </c>
      <c r="D100" s="19">
        <v>0</v>
      </c>
    </row>
    <row r="101" spans="1:4" s="7" customFormat="1" ht="24">
      <c r="A101" s="4">
        <f t="shared" si="0"/>
        <v>71</v>
      </c>
      <c r="B101" s="5" t="s">
        <v>36</v>
      </c>
      <c r="C101" s="5"/>
      <c r="D101" s="15" t="s">
        <v>58</v>
      </c>
    </row>
    <row r="102" spans="1:4" s="7" customFormat="1" ht="12.75">
      <c r="A102" s="4">
        <f t="shared" si="0"/>
        <v>72</v>
      </c>
      <c r="B102" s="5" t="s">
        <v>37</v>
      </c>
      <c r="C102" s="5"/>
      <c r="D102" s="4" t="s">
        <v>61</v>
      </c>
    </row>
    <row r="103" spans="1:4" s="7" customFormat="1" ht="12.75">
      <c r="A103" s="4">
        <f t="shared" si="0"/>
        <v>73</v>
      </c>
      <c r="B103" s="5" t="s">
        <v>38</v>
      </c>
      <c r="C103" s="5" t="s">
        <v>39</v>
      </c>
      <c r="D103" s="4">
        <v>839</v>
      </c>
    </row>
    <row r="104" spans="1:4" s="7" customFormat="1" ht="12.75">
      <c r="A104" s="4">
        <f t="shared" si="0"/>
        <v>74</v>
      </c>
      <c r="B104" s="5" t="s">
        <v>40</v>
      </c>
      <c r="C104" s="5" t="s">
        <v>9</v>
      </c>
      <c r="D104" s="8">
        <v>603635.76</v>
      </c>
    </row>
    <row r="105" spans="1:4" s="7" customFormat="1" ht="12.75">
      <c r="A105" s="4">
        <f t="shared" si="0"/>
        <v>75</v>
      </c>
      <c r="B105" s="5" t="s">
        <v>41</v>
      </c>
      <c r="C105" s="5" t="s">
        <v>9</v>
      </c>
      <c r="D105" s="8">
        <v>600003.24</v>
      </c>
    </row>
    <row r="106" spans="1:4" s="7" customFormat="1" ht="12.75">
      <c r="A106" s="4">
        <f t="shared" si="0"/>
        <v>76</v>
      </c>
      <c r="B106" s="5" t="s">
        <v>42</v>
      </c>
      <c r="C106" s="5" t="s">
        <v>9</v>
      </c>
      <c r="D106" s="8">
        <f>D104-D105</f>
        <v>3632.5200000000186</v>
      </c>
    </row>
    <row r="107" spans="1:4" s="18" customFormat="1" ht="12.75">
      <c r="A107" s="4">
        <f t="shared" si="0"/>
        <v>77</v>
      </c>
      <c r="B107" s="16" t="s">
        <v>43</v>
      </c>
      <c r="C107" s="16" t="s">
        <v>9</v>
      </c>
      <c r="D107" s="17">
        <f>610012.46+36417.59+33146.72</f>
        <v>679576.7699999999</v>
      </c>
    </row>
    <row r="108" spans="1:4" s="18" customFormat="1" ht="12.75">
      <c r="A108" s="4">
        <f t="shared" si="0"/>
        <v>78</v>
      </c>
      <c r="B108" s="16" t="s">
        <v>44</v>
      </c>
      <c r="C108" s="16" t="s">
        <v>9</v>
      </c>
      <c r="D108" s="17">
        <v>646753</v>
      </c>
    </row>
    <row r="109" spans="1:4" s="18" customFormat="1" ht="12.75">
      <c r="A109" s="4">
        <f t="shared" si="0"/>
        <v>79</v>
      </c>
      <c r="B109" s="16" t="s">
        <v>45</v>
      </c>
      <c r="C109" s="16" t="s">
        <v>9</v>
      </c>
      <c r="D109" s="17">
        <f>D108-D107</f>
        <v>-32823.7699999999</v>
      </c>
    </row>
    <row r="110" spans="1:4" s="18" customFormat="1" ht="25.5">
      <c r="A110" s="4">
        <f t="shared" si="0"/>
        <v>80</v>
      </c>
      <c r="B110" s="16" t="s">
        <v>46</v>
      </c>
      <c r="C110" s="16" t="s">
        <v>9</v>
      </c>
      <c r="D110" s="19">
        <v>0</v>
      </c>
    </row>
    <row r="111" spans="1:4" s="7" customFormat="1" ht="12.75">
      <c r="A111" s="4">
        <f t="shared" si="0"/>
        <v>81</v>
      </c>
      <c r="B111" s="5" t="s">
        <v>36</v>
      </c>
      <c r="C111" s="5"/>
      <c r="D111" s="20" t="s">
        <v>56</v>
      </c>
    </row>
    <row r="112" spans="1:4" s="7" customFormat="1" ht="12.75">
      <c r="A112" s="4">
        <f t="shared" si="0"/>
        <v>82</v>
      </c>
      <c r="B112" s="5" t="s">
        <v>37</v>
      </c>
      <c r="C112" s="5"/>
      <c r="D112" s="4" t="s">
        <v>60</v>
      </c>
    </row>
    <row r="113" spans="1:4" s="7" customFormat="1" ht="12.75">
      <c r="A113" s="4">
        <f t="shared" si="0"/>
        <v>83</v>
      </c>
      <c r="B113" s="5" t="s">
        <v>38</v>
      </c>
      <c r="C113" s="5" t="s">
        <v>39</v>
      </c>
      <c r="D113" s="4">
        <f>62.139+938.679+65.117+890.908+58.814+878.196+156.373+825.925+52.874+815.181+38.011+1037.274+44.01+854.861+57.681+911.825+75.934+850.708+75.425+924.732+65.078+862.848+82.858+860.516</f>
        <v>11485.966999999999</v>
      </c>
    </row>
    <row r="114" spans="1:4" s="7" customFormat="1" ht="12.75">
      <c r="A114" s="4">
        <f t="shared" si="0"/>
        <v>84</v>
      </c>
      <c r="B114" s="5" t="s">
        <v>40</v>
      </c>
      <c r="C114" s="5" t="s">
        <v>9</v>
      </c>
      <c r="D114" s="8">
        <v>161299.52</v>
      </c>
    </row>
    <row r="115" spans="1:4" s="7" customFormat="1" ht="12.75">
      <c r="A115" s="4">
        <f t="shared" si="0"/>
        <v>85</v>
      </c>
      <c r="B115" s="5" t="s">
        <v>41</v>
      </c>
      <c r="C115" s="5" t="s">
        <v>9</v>
      </c>
      <c r="D115" s="8">
        <v>160138.66</v>
      </c>
    </row>
    <row r="116" spans="1:4" s="7" customFormat="1" ht="12.75">
      <c r="A116" s="4">
        <f t="shared" si="0"/>
        <v>86</v>
      </c>
      <c r="B116" s="5" t="s">
        <v>42</v>
      </c>
      <c r="C116" s="5" t="s">
        <v>9</v>
      </c>
      <c r="D116" s="8">
        <f>D114-D115</f>
        <v>1160.859999999986</v>
      </c>
    </row>
    <row r="117" spans="1:4" s="18" customFormat="1" ht="12.75">
      <c r="A117" s="4">
        <f t="shared" si="0"/>
        <v>87</v>
      </c>
      <c r="B117" s="16" t="s">
        <v>43</v>
      </c>
      <c r="C117" s="16" t="s">
        <v>9</v>
      </c>
      <c r="D117" s="17">
        <v>161273.02</v>
      </c>
    </row>
    <row r="118" spans="1:4" s="18" customFormat="1" ht="12.75">
      <c r="A118" s="4">
        <f t="shared" si="0"/>
        <v>88</v>
      </c>
      <c r="B118" s="16" t="s">
        <v>44</v>
      </c>
      <c r="C118" s="16" t="s">
        <v>9</v>
      </c>
      <c r="D118" s="17">
        <v>164509</v>
      </c>
    </row>
    <row r="119" spans="1:4" s="18" customFormat="1" ht="12.75">
      <c r="A119" s="4">
        <f t="shared" si="0"/>
        <v>89</v>
      </c>
      <c r="B119" s="16" t="s">
        <v>45</v>
      </c>
      <c r="C119" s="16" t="s">
        <v>9</v>
      </c>
      <c r="D119" s="17">
        <f>D118-D117</f>
        <v>3235.9800000000105</v>
      </c>
    </row>
    <row r="120" spans="1:4" s="18" customFormat="1" ht="25.5">
      <c r="A120" s="4">
        <f t="shared" si="0"/>
        <v>90</v>
      </c>
      <c r="B120" s="16" t="s">
        <v>46</v>
      </c>
      <c r="C120" s="16" t="s">
        <v>9</v>
      </c>
      <c r="D120" s="19">
        <v>0</v>
      </c>
    </row>
    <row r="121" spans="1:4" s="18" customFormat="1" ht="16.5" customHeight="1">
      <c r="A121" s="36" t="s">
        <v>47</v>
      </c>
      <c r="B121" s="37"/>
      <c r="C121" s="37"/>
      <c r="D121" s="38"/>
    </row>
    <row r="122" spans="1:4" s="18" customFormat="1" ht="12.75">
      <c r="A122" s="4">
        <v>91</v>
      </c>
      <c r="B122" s="16" t="s">
        <v>27</v>
      </c>
      <c r="C122" s="16" t="s">
        <v>28</v>
      </c>
      <c r="D122" s="19">
        <v>2</v>
      </c>
    </row>
    <row r="123" spans="1:4" s="18" customFormat="1" ht="12.75">
      <c r="A123" s="4">
        <v>92</v>
      </c>
      <c r="B123" s="16" t="s">
        <v>29</v>
      </c>
      <c r="C123" s="16" t="s">
        <v>28</v>
      </c>
      <c r="D123" s="19">
        <v>2</v>
      </c>
    </row>
    <row r="124" spans="1:4" s="18" customFormat="1" ht="12.75">
      <c r="A124" s="4">
        <v>93</v>
      </c>
      <c r="B124" s="16" t="s">
        <v>31</v>
      </c>
      <c r="C124" s="16"/>
      <c r="D124" s="19">
        <v>0</v>
      </c>
    </row>
    <row r="125" spans="1:4" s="18" customFormat="1" ht="12.75">
      <c r="A125" s="4">
        <v>94</v>
      </c>
      <c r="B125" s="16" t="s">
        <v>32</v>
      </c>
      <c r="C125" s="16" t="s">
        <v>9</v>
      </c>
      <c r="D125" s="19">
        <v>10703</v>
      </c>
    </row>
    <row r="126" spans="1:4" s="18" customFormat="1" ht="21" customHeight="1">
      <c r="A126" s="36" t="s">
        <v>48</v>
      </c>
      <c r="B126" s="37"/>
      <c r="C126" s="37"/>
      <c r="D126" s="38"/>
    </row>
    <row r="127" spans="1:4" s="18" customFormat="1" ht="12.75">
      <c r="A127" s="4">
        <v>95</v>
      </c>
      <c r="B127" s="16" t="s">
        <v>49</v>
      </c>
      <c r="C127" s="16" t="s">
        <v>28</v>
      </c>
      <c r="D127" s="19">
        <v>0</v>
      </c>
    </row>
    <row r="128" spans="1:4" s="18" customFormat="1" ht="12.75">
      <c r="A128" s="4">
        <v>96</v>
      </c>
      <c r="B128" s="16" t="s">
        <v>50</v>
      </c>
      <c r="C128" s="16" t="s">
        <v>28</v>
      </c>
      <c r="D128" s="19">
        <v>0</v>
      </c>
    </row>
    <row r="129" spans="1:4" s="18" customFormat="1" ht="25.5">
      <c r="A129" s="4">
        <v>97</v>
      </c>
      <c r="B129" s="16" t="s">
        <v>51</v>
      </c>
      <c r="C129" s="16" t="s">
        <v>9</v>
      </c>
      <c r="D129" s="19">
        <v>0</v>
      </c>
    </row>
    <row r="130" spans="1:4" s="18" customFormat="1" ht="12.75">
      <c r="A130" s="21"/>
      <c r="B130" s="22"/>
      <c r="C130" s="22"/>
      <c r="D130" s="22"/>
    </row>
    <row r="131" spans="1:4" ht="15">
      <c r="A131" s="23"/>
      <c r="B131" s="24"/>
      <c r="C131" s="24"/>
      <c r="D131" s="24"/>
    </row>
    <row r="132" spans="1:4" ht="15">
      <c r="A132" s="23"/>
      <c r="B132" s="24"/>
      <c r="C132" s="24"/>
      <c r="D132" s="24"/>
    </row>
    <row r="133" spans="1:4" ht="15">
      <c r="A133" s="23"/>
      <c r="B133" s="24"/>
      <c r="C133" s="24"/>
      <c r="D133" s="24"/>
    </row>
    <row r="134" spans="1:4" ht="15">
      <c r="A134" s="23"/>
      <c r="B134" s="24"/>
      <c r="C134" s="24"/>
      <c r="D134" s="24"/>
    </row>
    <row r="135" spans="1:4" ht="15">
      <c r="A135" s="23"/>
      <c r="B135" s="24"/>
      <c r="C135" s="24"/>
      <c r="D135" s="24"/>
    </row>
    <row r="136" spans="1:4" ht="15">
      <c r="A136" s="23"/>
      <c r="B136" s="24"/>
      <c r="C136" s="24"/>
      <c r="D136" s="24"/>
    </row>
    <row r="137" spans="1:4" ht="15">
      <c r="A137" s="23"/>
      <c r="B137" s="24"/>
      <c r="C137" s="24"/>
      <c r="D137" s="24"/>
    </row>
    <row r="138" spans="1:4" ht="15">
      <c r="A138" s="23"/>
      <c r="B138" s="24"/>
      <c r="C138" s="24"/>
      <c r="D138" s="24"/>
    </row>
    <row r="139" spans="1:4" ht="15">
      <c r="A139" s="23"/>
      <c r="B139" s="24"/>
      <c r="C139" s="24"/>
      <c r="D139" s="24"/>
    </row>
    <row r="140" spans="1:4" ht="15">
      <c r="A140" s="23"/>
      <c r="B140" s="24"/>
      <c r="C140" s="24"/>
      <c r="D140" s="24"/>
    </row>
    <row r="141" spans="1:4" ht="15">
      <c r="A141" s="23"/>
      <c r="B141" s="24"/>
      <c r="C141" s="24"/>
      <c r="D141" s="24"/>
    </row>
    <row r="142" spans="1:4" ht="15">
      <c r="A142" s="23"/>
      <c r="B142" s="24"/>
      <c r="C142" s="24"/>
      <c r="D142" s="24"/>
    </row>
    <row r="143" spans="1:4" ht="15">
      <c r="A143" s="23"/>
      <c r="B143" s="24"/>
      <c r="C143" s="24"/>
      <c r="D143" s="24"/>
    </row>
    <row r="144" spans="1:4" ht="15">
      <c r="A144" s="23"/>
      <c r="B144" s="24"/>
      <c r="C144" s="24"/>
      <c r="D144" s="24"/>
    </row>
    <row r="145" spans="1:4" ht="15">
      <c r="A145" s="23"/>
      <c r="B145" s="24"/>
      <c r="C145" s="24"/>
      <c r="D145" s="24"/>
    </row>
    <row r="146" spans="1:4" ht="15">
      <c r="A146" s="23"/>
      <c r="B146" s="24"/>
      <c r="C146" s="24"/>
      <c r="D146" s="24"/>
    </row>
    <row r="147" spans="1:4" ht="15">
      <c r="A147" s="23"/>
      <c r="B147" s="24"/>
      <c r="C147" s="24"/>
      <c r="D147" s="24"/>
    </row>
    <row r="148" spans="1:4" ht="15">
      <c r="A148" s="23"/>
      <c r="B148" s="24"/>
      <c r="C148" s="24"/>
      <c r="D148" s="24"/>
    </row>
    <row r="149" spans="1:4" ht="15">
      <c r="A149" s="23"/>
      <c r="B149" s="24"/>
      <c r="C149" s="24"/>
      <c r="D149" s="24"/>
    </row>
    <row r="150" spans="1:4" ht="15">
      <c r="A150" s="23"/>
      <c r="B150" s="24"/>
      <c r="C150" s="24"/>
      <c r="D150" s="24"/>
    </row>
    <row r="151" spans="1:4" ht="15">
      <c r="A151" s="23"/>
      <c r="B151" s="24"/>
      <c r="C151" s="24"/>
      <c r="D151" s="24"/>
    </row>
    <row r="152" spans="1:4" ht="15">
      <c r="A152" s="23"/>
      <c r="B152" s="24"/>
      <c r="C152" s="24"/>
      <c r="D152" s="24"/>
    </row>
    <row r="153" spans="1:4" ht="15">
      <c r="A153" s="23"/>
      <c r="B153" s="24"/>
      <c r="C153" s="24"/>
      <c r="D153" s="24"/>
    </row>
    <row r="154" spans="1:4" ht="15">
      <c r="A154" s="23"/>
      <c r="B154" s="24"/>
      <c r="C154" s="24"/>
      <c r="D154" s="24"/>
    </row>
    <row r="155" spans="1:4" ht="15">
      <c r="A155" s="23"/>
      <c r="B155" s="24"/>
      <c r="C155" s="24"/>
      <c r="D155" s="24"/>
    </row>
    <row r="156" spans="1:4" ht="15">
      <c r="A156" s="23"/>
      <c r="B156" s="24"/>
      <c r="C156" s="24"/>
      <c r="D156" s="24"/>
    </row>
    <row r="157" spans="1:4" ht="15">
      <c r="A157" s="23"/>
      <c r="B157" s="24"/>
      <c r="C157" s="24"/>
      <c r="D157" s="24"/>
    </row>
  </sheetData>
  <sheetProtection/>
  <mergeCells count="8">
    <mergeCell ref="A121:D121"/>
    <mergeCell ref="A126:D126"/>
    <mergeCell ref="A1:D1"/>
    <mergeCell ref="A7:D7"/>
    <mergeCell ref="A25:D25"/>
    <mergeCell ref="A58:D58"/>
    <mergeCell ref="A63:D63"/>
    <mergeCell ref="A70:D70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34">
      <selection activeCell="D55" activeCellId="9" sqref="D26 D29 D32 D35 D40 D43 D46 D49 D52 D55"/>
    </sheetView>
  </sheetViews>
  <sheetFormatPr defaultColWidth="9.140625" defaultRowHeight="15"/>
  <cols>
    <col min="1" max="1" width="6.28125" style="25" customWidth="1"/>
    <col min="2" max="2" width="51.421875" style="1" customWidth="1"/>
    <col min="3" max="3" width="9.140625" style="1" customWidth="1"/>
    <col min="4" max="4" width="17.00390625" style="1" customWidth="1"/>
    <col min="5" max="6" width="9.140625" style="1" customWidth="1"/>
    <col min="7" max="7" width="10.28125" style="1" bestFit="1" customWidth="1"/>
    <col min="8" max="16384" width="9.140625" style="1" customWidth="1"/>
  </cols>
  <sheetData>
    <row r="1" spans="1:4" ht="30" customHeight="1">
      <c r="A1" s="39" t="s">
        <v>98</v>
      </c>
      <c r="B1" s="39"/>
      <c r="C1" s="39"/>
      <c r="D1" s="39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2.75">
      <c r="A4" s="4">
        <v>1</v>
      </c>
      <c r="B4" s="5" t="s">
        <v>4</v>
      </c>
      <c r="C4" s="4" t="s">
        <v>57</v>
      </c>
      <c r="D4" s="6">
        <v>42825</v>
      </c>
    </row>
    <row r="5" spans="1:4" s="7" customFormat="1" ht="12.75">
      <c r="A5" s="4">
        <v>2</v>
      </c>
      <c r="B5" s="5" t="s">
        <v>5</v>
      </c>
      <c r="C5" s="4" t="s">
        <v>57</v>
      </c>
      <c r="D5" s="6">
        <v>42370</v>
      </c>
    </row>
    <row r="6" spans="1:4" s="7" customFormat="1" ht="12.75">
      <c r="A6" s="4">
        <v>3</v>
      </c>
      <c r="B6" s="5" t="s">
        <v>6</v>
      </c>
      <c r="C6" s="4" t="s">
        <v>57</v>
      </c>
      <c r="D6" s="6">
        <v>42735</v>
      </c>
    </row>
    <row r="7" spans="1:4" s="7" customFormat="1" ht="27.75" customHeight="1">
      <c r="A7" s="36" t="s">
        <v>7</v>
      </c>
      <c r="B7" s="37"/>
      <c r="C7" s="37"/>
      <c r="D7" s="38"/>
    </row>
    <row r="8" spans="1:4" s="7" customFormat="1" ht="12.75">
      <c r="A8" s="4">
        <v>4</v>
      </c>
      <c r="B8" s="5" t="s">
        <v>8</v>
      </c>
      <c r="C8" s="5" t="s">
        <v>9</v>
      </c>
      <c r="D8" s="8">
        <f>D10-D9</f>
        <v>79160.42</v>
      </c>
    </row>
    <row r="9" spans="1:4" s="7" customFormat="1" ht="12.75">
      <c r="A9" s="4">
        <v>5</v>
      </c>
      <c r="B9" s="5" t="s">
        <v>10</v>
      </c>
      <c r="C9" s="5" t="s">
        <v>9</v>
      </c>
      <c r="D9" s="9">
        <f>6.05+0.06+371.22+0.14+216.54+2.12+13.55+64.73+5.11</f>
        <v>679.52</v>
      </c>
    </row>
    <row r="10" spans="1:4" s="7" customFormat="1" ht="12.75">
      <c r="A10" s="4">
        <v>6</v>
      </c>
      <c r="B10" s="5" t="s">
        <v>11</v>
      </c>
      <c r="C10" s="5" t="s">
        <v>9</v>
      </c>
      <c r="D10" s="9">
        <f>4049.68+54586.99+534.48+3372.55+16104.32+1191.92</f>
        <v>79839.94</v>
      </c>
    </row>
    <row r="11" spans="1:4" s="7" customFormat="1" ht="25.5">
      <c r="A11" s="4">
        <v>7</v>
      </c>
      <c r="B11" s="5" t="s">
        <v>12</v>
      </c>
      <c r="C11" s="5"/>
      <c r="D11" s="8">
        <f>6.05+0.06+4480+0.14+22400+498021.59+4493.32+26960.86+115814.9+11073.94+14716</f>
        <v>697966.86</v>
      </c>
    </row>
    <row r="12" spans="1:4" s="7" customFormat="1" ht="12.75">
      <c r="A12" s="4">
        <v>8</v>
      </c>
      <c r="B12" s="5" t="s">
        <v>13</v>
      </c>
      <c r="C12" s="5" t="s">
        <v>9</v>
      </c>
      <c r="D12" s="8">
        <f>D11-D14</f>
        <v>678000.86</v>
      </c>
    </row>
    <row r="13" spans="1:4" s="7" customFormat="1" ht="12.75">
      <c r="A13" s="4">
        <v>9</v>
      </c>
      <c r="B13" s="5" t="s">
        <v>14</v>
      </c>
      <c r="C13" s="5" t="s">
        <v>9</v>
      </c>
      <c r="D13" s="8">
        <v>0</v>
      </c>
    </row>
    <row r="14" spans="1:4" s="7" customFormat="1" ht="12.75">
      <c r="A14" s="4">
        <v>10</v>
      </c>
      <c r="B14" s="5" t="s">
        <v>15</v>
      </c>
      <c r="C14" s="5" t="s">
        <v>9</v>
      </c>
      <c r="D14" s="8">
        <v>19966</v>
      </c>
    </row>
    <row r="15" spans="1:4" s="7" customFormat="1" ht="12.75">
      <c r="A15" s="4">
        <v>11</v>
      </c>
      <c r="B15" s="5" t="s">
        <v>16</v>
      </c>
      <c r="C15" s="5" t="s">
        <v>9</v>
      </c>
      <c r="D15" s="8">
        <f>SUM(D16:D20)</f>
        <v>721165.5399999999</v>
      </c>
    </row>
    <row r="16" spans="1:4" s="7" customFormat="1" ht="12.75">
      <c r="A16" s="4">
        <v>12</v>
      </c>
      <c r="B16" s="5" t="s">
        <v>17</v>
      </c>
      <c r="C16" s="5" t="s">
        <v>9</v>
      </c>
      <c r="D16" s="8">
        <f>7456.44+20040+511217.52+4662.76+28140.47+122701.64+11360.39</f>
        <v>705579.22</v>
      </c>
    </row>
    <row r="17" spans="1:4" s="7" customFormat="1" ht="12.75">
      <c r="A17" s="4">
        <v>13</v>
      </c>
      <c r="B17" s="5" t="s">
        <v>18</v>
      </c>
      <c r="C17" s="5" t="s">
        <v>9</v>
      </c>
      <c r="D17" s="8">
        <v>0</v>
      </c>
    </row>
    <row r="18" spans="1:4" s="7" customFormat="1" ht="12.75">
      <c r="A18" s="4">
        <v>14</v>
      </c>
      <c r="B18" s="5" t="s">
        <v>19</v>
      </c>
      <c r="C18" s="5" t="s">
        <v>9</v>
      </c>
      <c r="D18" s="8">
        <v>0</v>
      </c>
    </row>
    <row r="19" spans="1:4" s="7" customFormat="1" ht="12.75">
      <c r="A19" s="4">
        <v>15</v>
      </c>
      <c r="B19" s="5" t="s">
        <v>20</v>
      </c>
      <c r="C19" s="5" t="s">
        <v>9</v>
      </c>
      <c r="D19" s="8">
        <v>15586.32</v>
      </c>
    </row>
    <row r="20" spans="1:4" s="7" customFormat="1" ht="12.75">
      <c r="A20" s="4">
        <v>16</v>
      </c>
      <c r="B20" s="5" t="s">
        <v>21</v>
      </c>
      <c r="C20" s="5" t="s">
        <v>9</v>
      </c>
      <c r="D20" s="8">
        <v>0</v>
      </c>
    </row>
    <row r="21" spans="1:4" s="7" customFormat="1" ht="12.75">
      <c r="A21" s="4">
        <v>17</v>
      </c>
      <c r="B21" s="5" t="s">
        <v>22</v>
      </c>
      <c r="C21" s="5" t="s">
        <v>9</v>
      </c>
      <c r="D21" s="8">
        <f>D8+D15</f>
        <v>800325.96</v>
      </c>
    </row>
    <row r="22" spans="1:4" s="7" customFormat="1" ht="12.75">
      <c r="A22" s="4">
        <v>18</v>
      </c>
      <c r="B22" s="5" t="s">
        <v>23</v>
      </c>
      <c r="C22" s="5" t="s">
        <v>9</v>
      </c>
      <c r="D22" s="8">
        <f>D24-D23</f>
        <v>56832.06</v>
      </c>
    </row>
    <row r="23" spans="1:4" s="7" customFormat="1" ht="12.75">
      <c r="A23" s="4">
        <v>19</v>
      </c>
      <c r="B23" s="5" t="s">
        <v>10</v>
      </c>
      <c r="C23" s="5" t="s">
        <v>9</v>
      </c>
      <c r="D23" s="9">
        <f>657.55+5.75+34.51+143.83+14.39</f>
        <v>856.03</v>
      </c>
    </row>
    <row r="24" spans="1:5" s="7" customFormat="1" ht="12.75">
      <c r="A24" s="4">
        <v>20</v>
      </c>
      <c r="B24" s="5" t="s">
        <v>11</v>
      </c>
      <c r="C24" s="5" t="s">
        <v>9</v>
      </c>
      <c r="D24" s="9">
        <f>702.02+2360+41832.07+368.67+2213.9+9296.68+914.75</f>
        <v>57688.09</v>
      </c>
      <c r="E24" s="14"/>
    </row>
    <row r="25" spans="1:4" s="7" customFormat="1" ht="26.25" customHeight="1">
      <c r="A25" s="36" t="s">
        <v>24</v>
      </c>
      <c r="B25" s="37"/>
      <c r="C25" s="37"/>
      <c r="D25" s="38"/>
    </row>
    <row r="26" spans="1:4" s="7" customFormat="1" ht="27.75" customHeight="1">
      <c r="A26" s="4">
        <v>21</v>
      </c>
      <c r="B26" s="5" t="s">
        <v>62</v>
      </c>
      <c r="C26" s="5" t="s">
        <v>9</v>
      </c>
      <c r="D26" s="8">
        <v>58137</v>
      </c>
    </row>
    <row r="27" spans="1:4" s="7" customFormat="1" ht="19.5" customHeight="1">
      <c r="A27" s="4"/>
      <c r="B27" s="5" t="s">
        <v>63</v>
      </c>
      <c r="C27" s="5" t="s">
        <v>65</v>
      </c>
      <c r="D27" s="34">
        <f>D26/12/2844.2</f>
        <v>1.7033788059911399</v>
      </c>
    </row>
    <row r="28" spans="1:4" s="7" customFormat="1" ht="14.25" customHeight="1">
      <c r="A28" s="4"/>
      <c r="B28" s="5" t="s">
        <v>25</v>
      </c>
      <c r="C28" s="5"/>
      <c r="D28" s="4" t="s">
        <v>64</v>
      </c>
    </row>
    <row r="29" spans="1:4" s="7" customFormat="1" ht="26.25" customHeight="1">
      <c r="A29" s="4">
        <v>22</v>
      </c>
      <c r="B29" s="5" t="s">
        <v>66</v>
      </c>
      <c r="C29" s="5" t="s">
        <v>9</v>
      </c>
      <c r="D29" s="8">
        <v>117690</v>
      </c>
    </row>
    <row r="30" spans="1:4" s="7" customFormat="1" ht="14.25" customHeight="1">
      <c r="A30" s="4"/>
      <c r="B30" s="10" t="s">
        <v>67</v>
      </c>
      <c r="C30" s="5" t="s">
        <v>65</v>
      </c>
      <c r="D30" s="11">
        <f>D29/12/2844.2</f>
        <v>3.4482455523521556</v>
      </c>
    </row>
    <row r="31" spans="1:4" s="7" customFormat="1" ht="14.25" customHeight="1">
      <c r="A31" s="12"/>
      <c r="B31" s="5" t="s">
        <v>25</v>
      </c>
      <c r="C31" s="5"/>
      <c r="D31" s="4" t="s">
        <v>68</v>
      </c>
    </row>
    <row r="32" spans="1:4" s="7" customFormat="1" ht="26.25" customHeight="1">
      <c r="A32" s="4">
        <v>23</v>
      </c>
      <c r="B32" s="5" t="s">
        <v>69</v>
      </c>
      <c r="C32" s="5" t="s">
        <v>9</v>
      </c>
      <c r="D32" s="8">
        <v>4663</v>
      </c>
    </row>
    <row r="33" spans="1:4" s="7" customFormat="1" ht="14.25" customHeight="1">
      <c r="A33" s="4"/>
      <c r="B33" s="10" t="s">
        <v>70</v>
      </c>
      <c r="C33" s="5" t="s">
        <v>65</v>
      </c>
      <c r="D33" s="11">
        <f>D32/12/2844.2</f>
        <v>0.1366230691700068</v>
      </c>
    </row>
    <row r="34" spans="1:4" s="7" customFormat="1" ht="14.25" customHeight="1">
      <c r="A34" s="12"/>
      <c r="B34" s="5" t="s">
        <v>25</v>
      </c>
      <c r="C34" s="5"/>
      <c r="D34" s="4" t="s">
        <v>71</v>
      </c>
    </row>
    <row r="35" spans="1:4" s="7" customFormat="1" ht="40.5" customHeight="1">
      <c r="A35" s="4">
        <v>24</v>
      </c>
      <c r="B35" s="5" t="s">
        <v>90</v>
      </c>
      <c r="C35" s="5" t="s">
        <v>9</v>
      </c>
      <c r="D35" s="8">
        <f>122365+11032</f>
        <v>133397</v>
      </c>
    </row>
    <row r="36" spans="1:4" s="7" customFormat="1" ht="14.25" customHeight="1">
      <c r="A36" s="4"/>
      <c r="B36" s="10" t="s">
        <v>72</v>
      </c>
      <c r="C36" s="5" t="s">
        <v>65</v>
      </c>
      <c r="D36" s="11">
        <f>122365/12/2844.2</f>
        <v>3.5852202142371614</v>
      </c>
    </row>
    <row r="37" spans="1:4" s="7" customFormat="1" ht="14.25" customHeight="1">
      <c r="A37" s="12"/>
      <c r="B37" s="5" t="s">
        <v>25</v>
      </c>
      <c r="C37" s="5"/>
      <c r="D37" s="4" t="s">
        <v>73</v>
      </c>
    </row>
    <row r="38" spans="1:4" s="7" customFormat="1" ht="14.25" customHeight="1">
      <c r="A38" s="4"/>
      <c r="B38" s="10" t="s">
        <v>74</v>
      </c>
      <c r="C38" s="5" t="s">
        <v>65</v>
      </c>
      <c r="D38" s="11">
        <f>11032/12/2844.2</f>
        <v>0.323230902655697</v>
      </c>
    </row>
    <row r="39" spans="1:4" s="7" customFormat="1" ht="14.25" customHeight="1">
      <c r="A39" s="12"/>
      <c r="B39" s="5" t="s">
        <v>25</v>
      </c>
      <c r="C39" s="5"/>
      <c r="D39" s="4" t="s">
        <v>73</v>
      </c>
    </row>
    <row r="40" spans="1:4" s="7" customFormat="1" ht="25.5" customHeight="1">
      <c r="A40" s="4">
        <v>25</v>
      </c>
      <c r="B40" s="5" t="s">
        <v>89</v>
      </c>
      <c r="C40" s="5" t="s">
        <v>9</v>
      </c>
      <c r="D40" s="8">
        <v>39182</v>
      </c>
    </row>
    <row r="41" spans="1:4" s="7" customFormat="1" ht="28.5" customHeight="1">
      <c r="A41" s="4"/>
      <c r="B41" s="10" t="s">
        <v>93</v>
      </c>
      <c r="C41" s="5" t="s">
        <v>65</v>
      </c>
      <c r="D41" s="11">
        <f>D40/12/2844.2</f>
        <v>1.1480088132573893</v>
      </c>
    </row>
    <row r="42" spans="1:4" s="7" customFormat="1" ht="14.25" customHeight="1">
      <c r="A42" s="12"/>
      <c r="B42" s="5" t="s">
        <v>25</v>
      </c>
      <c r="C42" s="5"/>
      <c r="D42" s="4" t="s">
        <v>73</v>
      </c>
    </row>
    <row r="43" spans="1:4" s="7" customFormat="1" ht="54" customHeight="1">
      <c r="A43" s="4">
        <v>26</v>
      </c>
      <c r="B43" s="5" t="s">
        <v>77</v>
      </c>
      <c r="C43" s="5" t="s">
        <v>9</v>
      </c>
      <c r="D43" s="8">
        <f>153639</f>
        <v>153639</v>
      </c>
    </row>
    <row r="44" spans="1:4" s="7" customFormat="1" ht="14.25" customHeight="1">
      <c r="A44" s="4"/>
      <c r="B44" s="10" t="s">
        <v>78</v>
      </c>
      <c r="C44" s="5" t="s">
        <v>65</v>
      </c>
      <c r="D44" s="11">
        <f>D43/12/2844.2</f>
        <v>4.501529428310246</v>
      </c>
    </row>
    <row r="45" spans="1:4" s="7" customFormat="1" ht="14.25" customHeight="1">
      <c r="A45" s="12"/>
      <c r="B45" s="5" t="s">
        <v>25</v>
      </c>
      <c r="C45" s="5"/>
      <c r="D45" s="4" t="s">
        <v>68</v>
      </c>
    </row>
    <row r="46" spans="1:4" s="7" customFormat="1" ht="16.5" customHeight="1">
      <c r="A46" s="4">
        <v>27</v>
      </c>
      <c r="B46" s="5" t="s">
        <v>79</v>
      </c>
      <c r="C46" s="5" t="s">
        <v>9</v>
      </c>
      <c r="D46" s="8">
        <v>27964</v>
      </c>
    </row>
    <row r="47" spans="1:4" s="7" customFormat="1" ht="14.25" customHeight="1">
      <c r="A47" s="4"/>
      <c r="B47" s="10" t="s">
        <v>80</v>
      </c>
      <c r="C47" s="5" t="s">
        <v>65</v>
      </c>
      <c r="D47" s="11">
        <f>D46/12/2844.2</f>
        <v>0.8193282235192088</v>
      </c>
    </row>
    <row r="48" spans="1:4" s="7" customFormat="1" ht="14.25" customHeight="1">
      <c r="A48" s="12"/>
      <c r="B48" s="5" t="s">
        <v>25</v>
      </c>
      <c r="C48" s="5"/>
      <c r="D48" s="4" t="s">
        <v>81</v>
      </c>
    </row>
    <row r="49" spans="1:4" s="7" customFormat="1" ht="29.25" customHeight="1">
      <c r="A49" s="4">
        <v>28</v>
      </c>
      <c r="B49" s="5" t="s">
        <v>82</v>
      </c>
      <c r="C49" s="5" t="s">
        <v>9</v>
      </c>
      <c r="D49" s="8">
        <v>109956</v>
      </c>
    </row>
    <row r="50" spans="1:4" s="7" customFormat="1" ht="14.25" customHeight="1">
      <c r="A50" s="4"/>
      <c r="B50" s="10" t="s">
        <v>83</v>
      </c>
      <c r="C50" s="5" t="s">
        <v>65</v>
      </c>
      <c r="D50" s="11">
        <f>D49/12/2844.2</f>
        <v>3.221644047535335</v>
      </c>
    </row>
    <row r="51" spans="1:4" s="7" customFormat="1" ht="14.25" customHeight="1">
      <c r="A51" s="12"/>
      <c r="B51" s="5" t="s">
        <v>25</v>
      </c>
      <c r="C51" s="5"/>
      <c r="D51" s="4" t="s">
        <v>68</v>
      </c>
    </row>
    <row r="52" spans="1:4" s="7" customFormat="1" ht="25.5" customHeight="1">
      <c r="A52" s="4">
        <v>29</v>
      </c>
      <c r="B52" s="5" t="s">
        <v>84</v>
      </c>
      <c r="C52" s="5" t="s">
        <v>9</v>
      </c>
      <c r="D52" s="8">
        <v>11549</v>
      </c>
    </row>
    <row r="53" spans="1:4" s="7" customFormat="1" ht="28.5" customHeight="1">
      <c r="A53" s="4"/>
      <c r="B53" s="10" t="s">
        <v>85</v>
      </c>
      <c r="C53" s="5" t="s">
        <v>65</v>
      </c>
      <c r="D53" s="11">
        <f>D52/12/2844.2</f>
        <v>0.3383786887935682</v>
      </c>
    </row>
    <row r="54" spans="1:4" s="7" customFormat="1" ht="14.25" customHeight="1">
      <c r="A54" s="12"/>
      <c r="B54" s="5" t="s">
        <v>25</v>
      </c>
      <c r="C54" s="5"/>
      <c r="D54" s="4" t="s">
        <v>73</v>
      </c>
    </row>
    <row r="55" spans="1:4" s="7" customFormat="1" ht="28.5" customHeight="1">
      <c r="A55" s="4">
        <v>30</v>
      </c>
      <c r="B55" s="5" t="s">
        <v>86</v>
      </c>
      <c r="C55" s="5" t="s">
        <v>9</v>
      </c>
      <c r="D55" s="8">
        <f>16318+2636</f>
        <v>18954</v>
      </c>
    </row>
    <row r="56" spans="1:4" s="7" customFormat="1" ht="26.25" customHeight="1">
      <c r="A56" s="4"/>
      <c r="B56" s="10" t="s">
        <v>87</v>
      </c>
      <c r="C56" s="5" t="s">
        <v>65</v>
      </c>
      <c r="D56" s="11">
        <f>D55/12/2844.2</f>
        <v>0.555340693340834</v>
      </c>
    </row>
    <row r="57" spans="1:4" s="7" customFormat="1" ht="27.75" customHeight="1">
      <c r="A57" s="12"/>
      <c r="B57" s="5" t="s">
        <v>25</v>
      </c>
      <c r="C57" s="5"/>
      <c r="D57" s="4" t="s">
        <v>88</v>
      </c>
    </row>
    <row r="58" spans="1:4" s="7" customFormat="1" ht="16.5" customHeight="1">
      <c r="A58" s="36" t="s">
        <v>26</v>
      </c>
      <c r="B58" s="37"/>
      <c r="C58" s="37"/>
      <c r="D58" s="38"/>
    </row>
    <row r="59" spans="1:4" s="7" customFormat="1" ht="14.25" customHeight="1">
      <c r="A59" s="4">
        <f>A55+1</f>
        <v>31</v>
      </c>
      <c r="B59" s="5" t="s">
        <v>27</v>
      </c>
      <c r="C59" s="5" t="s">
        <v>28</v>
      </c>
      <c r="D59" s="4">
        <v>0</v>
      </c>
    </row>
    <row r="60" spans="1:4" s="7" customFormat="1" ht="14.25" customHeight="1">
      <c r="A60" s="4">
        <f>A59+1</f>
        <v>32</v>
      </c>
      <c r="B60" s="5" t="s">
        <v>29</v>
      </c>
      <c r="C60" s="5" t="s">
        <v>30</v>
      </c>
      <c r="D60" s="4">
        <v>0</v>
      </c>
    </row>
    <row r="61" spans="1:4" s="7" customFormat="1" ht="14.25" customHeight="1">
      <c r="A61" s="4">
        <f>A60+1</f>
        <v>33</v>
      </c>
      <c r="B61" s="5" t="s">
        <v>31</v>
      </c>
      <c r="C61" s="5" t="s">
        <v>28</v>
      </c>
      <c r="D61" s="4">
        <v>0</v>
      </c>
    </row>
    <row r="62" spans="1:4" s="7" customFormat="1" ht="14.25" customHeight="1">
      <c r="A62" s="4">
        <f>A61+1</f>
        <v>34</v>
      </c>
      <c r="B62" s="5" t="s">
        <v>32</v>
      </c>
      <c r="C62" s="5" t="s">
        <v>9</v>
      </c>
      <c r="D62" s="4">
        <v>0</v>
      </c>
    </row>
    <row r="63" spans="1:4" s="7" customFormat="1" ht="17.25" customHeight="1">
      <c r="A63" s="36" t="s">
        <v>33</v>
      </c>
      <c r="B63" s="37"/>
      <c r="C63" s="37"/>
      <c r="D63" s="38"/>
    </row>
    <row r="64" spans="1:4" s="7" customFormat="1" ht="25.5">
      <c r="A64" s="4">
        <f>A62+1</f>
        <v>35</v>
      </c>
      <c r="B64" s="5" t="s">
        <v>34</v>
      </c>
      <c r="C64" s="5" t="s">
        <v>9</v>
      </c>
      <c r="D64" s="8">
        <f>D66-D65</f>
        <v>94549.30999999998</v>
      </c>
    </row>
    <row r="65" spans="1:4" s="7" customFormat="1" ht="15" customHeight="1">
      <c r="A65" s="4">
        <f>A64+1</f>
        <v>36</v>
      </c>
      <c r="B65" s="5" t="s">
        <v>10</v>
      </c>
      <c r="C65" s="5" t="s">
        <v>9</v>
      </c>
      <c r="D65" s="8">
        <f>150.55+2198.01+1664.74+1369.79+100.04</f>
        <v>5483.13</v>
      </c>
    </row>
    <row r="66" spans="1:4" s="7" customFormat="1" ht="15" customHeight="1">
      <c r="A66" s="4">
        <f>A65+1</f>
        <v>37</v>
      </c>
      <c r="B66" s="5" t="s">
        <v>11</v>
      </c>
      <c r="C66" s="5" t="s">
        <v>9</v>
      </c>
      <c r="D66" s="8">
        <f>29341.3+14385.76+11558.05+11524.76+35053.02-1830.45</f>
        <v>100032.43999999999</v>
      </c>
    </row>
    <row r="67" spans="1:4" s="7" customFormat="1" ht="25.5">
      <c r="A67" s="4">
        <f>A66+1</f>
        <v>38</v>
      </c>
      <c r="B67" s="5" t="s">
        <v>35</v>
      </c>
      <c r="C67" s="5" t="s">
        <v>9</v>
      </c>
      <c r="D67" s="8">
        <f>D69-D68</f>
        <v>64596.89</v>
      </c>
    </row>
    <row r="68" spans="1:4" s="7" customFormat="1" ht="13.5" customHeight="1">
      <c r="A68" s="4">
        <f>A67+1</f>
        <v>39</v>
      </c>
      <c r="B68" s="5" t="s">
        <v>10</v>
      </c>
      <c r="C68" s="5" t="s">
        <v>9</v>
      </c>
      <c r="D68" s="8">
        <f>890.55+194.51+179.52+279.48+373.88</f>
        <v>1917.94</v>
      </c>
    </row>
    <row r="69" spans="1:4" s="7" customFormat="1" ht="13.5" customHeight="1">
      <c r="A69" s="4">
        <f>A68+1</f>
        <v>40</v>
      </c>
      <c r="B69" s="5" t="s">
        <v>11</v>
      </c>
      <c r="C69" s="5" t="s">
        <v>9</v>
      </c>
      <c r="D69" s="8">
        <f>26671.39+7929.39+6534.47+6999.93+18379.65</f>
        <v>66514.83</v>
      </c>
    </row>
    <row r="70" spans="1:4" s="7" customFormat="1" ht="18" customHeight="1">
      <c r="A70" s="36" t="s">
        <v>52</v>
      </c>
      <c r="B70" s="37"/>
      <c r="C70" s="37"/>
      <c r="D70" s="38"/>
    </row>
    <row r="71" spans="1:4" s="7" customFormat="1" ht="12.75">
      <c r="A71" s="4">
        <f>A69+1</f>
        <v>41</v>
      </c>
      <c r="B71" s="5" t="s">
        <v>36</v>
      </c>
      <c r="C71" s="5"/>
      <c r="D71" s="15" t="s">
        <v>53</v>
      </c>
    </row>
    <row r="72" spans="1:4" s="7" customFormat="1" ht="12.75">
      <c r="A72" s="4">
        <f>A71+1</f>
        <v>42</v>
      </c>
      <c r="B72" s="5" t="s">
        <v>37</v>
      </c>
      <c r="C72" s="5"/>
      <c r="D72" s="4" t="s">
        <v>59</v>
      </c>
    </row>
    <row r="73" spans="1:4" s="7" customFormat="1" ht="12.75">
      <c r="A73" s="4">
        <f aca="true" t="shared" si="0" ref="A73:A120">A72+1</f>
        <v>43</v>
      </c>
      <c r="B73" s="5" t="s">
        <v>38</v>
      </c>
      <c r="C73" s="5" t="s">
        <v>39</v>
      </c>
      <c r="D73" s="4">
        <f>(12.6+10.83+9.39+9+10.95+8.85+8.28+9.78+8.46+11.04+12.18+11.13)*1000</f>
        <v>122489.99999999999</v>
      </c>
    </row>
    <row r="74" spans="1:4" s="7" customFormat="1" ht="12.75">
      <c r="A74" s="4">
        <f t="shared" si="0"/>
        <v>44</v>
      </c>
      <c r="B74" s="5" t="s">
        <v>40</v>
      </c>
      <c r="C74" s="5" t="s">
        <v>9</v>
      </c>
      <c r="D74" s="8">
        <v>262622.99</v>
      </c>
    </row>
    <row r="75" spans="1:4" s="7" customFormat="1" ht="12.75">
      <c r="A75" s="4">
        <f t="shared" si="0"/>
        <v>45</v>
      </c>
      <c r="B75" s="5" t="s">
        <v>41</v>
      </c>
      <c r="C75" s="5" t="s">
        <v>9</v>
      </c>
      <c r="D75" s="8">
        <v>279570.2</v>
      </c>
    </row>
    <row r="76" spans="1:4" s="7" customFormat="1" ht="12.75">
      <c r="A76" s="4">
        <f t="shared" si="0"/>
        <v>46</v>
      </c>
      <c r="B76" s="5" t="s">
        <v>42</v>
      </c>
      <c r="C76" s="5" t="s">
        <v>9</v>
      </c>
      <c r="D76" s="8">
        <f>D74-D75</f>
        <v>-16947.21000000002</v>
      </c>
    </row>
    <row r="77" spans="1:4" s="18" customFormat="1" ht="12.75">
      <c r="A77" s="4">
        <f t="shared" si="0"/>
        <v>47</v>
      </c>
      <c r="B77" s="16" t="s">
        <v>43</v>
      </c>
      <c r="C77" s="16" t="s">
        <v>9</v>
      </c>
      <c r="D77" s="17">
        <f>252875.04+5806.93</f>
        <v>258681.97</v>
      </c>
    </row>
    <row r="78" spans="1:4" s="18" customFormat="1" ht="12.75">
      <c r="A78" s="4">
        <f t="shared" si="0"/>
        <v>48</v>
      </c>
      <c r="B78" s="16" t="s">
        <v>44</v>
      </c>
      <c r="C78" s="16" t="s">
        <v>9</v>
      </c>
      <c r="D78" s="17">
        <v>260567</v>
      </c>
    </row>
    <row r="79" spans="1:4" s="18" customFormat="1" ht="12.75">
      <c r="A79" s="4">
        <f t="shared" si="0"/>
        <v>49</v>
      </c>
      <c r="B79" s="16" t="s">
        <v>45</v>
      </c>
      <c r="C79" s="16" t="s">
        <v>9</v>
      </c>
      <c r="D79" s="17">
        <f>D78-D77</f>
        <v>1885.0299999999988</v>
      </c>
    </row>
    <row r="80" spans="1:4" s="18" customFormat="1" ht="25.5">
      <c r="A80" s="4">
        <f t="shared" si="0"/>
        <v>50</v>
      </c>
      <c r="B80" s="16" t="s">
        <v>46</v>
      </c>
      <c r="C80" s="16" t="s">
        <v>9</v>
      </c>
      <c r="D80" s="19">
        <v>0</v>
      </c>
    </row>
    <row r="81" spans="1:4" s="7" customFormat="1" ht="24">
      <c r="A81" s="4">
        <f t="shared" si="0"/>
        <v>51</v>
      </c>
      <c r="B81" s="5" t="s">
        <v>36</v>
      </c>
      <c r="C81" s="5"/>
      <c r="D81" s="15" t="s">
        <v>54</v>
      </c>
    </row>
    <row r="82" spans="1:4" s="7" customFormat="1" ht="12.75">
      <c r="A82" s="4">
        <f t="shared" si="0"/>
        <v>52</v>
      </c>
      <c r="B82" s="5" t="s">
        <v>37</v>
      </c>
      <c r="C82" s="5"/>
      <c r="D82" s="4" t="s">
        <v>60</v>
      </c>
    </row>
    <row r="83" spans="1:4" s="7" customFormat="1" ht="12.75">
      <c r="A83" s="4">
        <f t="shared" si="0"/>
        <v>53</v>
      </c>
      <c r="B83" s="5" t="s">
        <v>38</v>
      </c>
      <c r="C83" s="5" t="s">
        <v>39</v>
      </c>
      <c r="D83" s="4">
        <f>31.601+373.399+48.02+263.98+78.011+302.989+36.212+297.788+44.094+270.906+23.258+362.742+34.822+342.178+40.693+319.307+45.896+316.104+46.607+316.393+27.594+323.406+30.855+340.145</f>
        <v>4317</v>
      </c>
    </row>
    <row r="84" spans="1:4" s="7" customFormat="1" ht="12.75">
      <c r="A84" s="4">
        <f t="shared" si="0"/>
        <v>54</v>
      </c>
      <c r="B84" s="5" t="s">
        <v>40</v>
      </c>
      <c r="C84" s="5" t="s">
        <v>9</v>
      </c>
      <c r="D84" s="8">
        <v>113034.17</v>
      </c>
    </row>
    <row r="85" spans="1:4" s="7" customFormat="1" ht="12.75">
      <c r="A85" s="4">
        <f t="shared" si="0"/>
        <v>55</v>
      </c>
      <c r="B85" s="5" t="s">
        <v>41</v>
      </c>
      <c r="C85" s="5" t="s">
        <v>9</v>
      </c>
      <c r="D85" s="8">
        <v>117487.04</v>
      </c>
    </row>
    <row r="86" spans="1:4" s="7" customFormat="1" ht="12.75">
      <c r="A86" s="4">
        <f t="shared" si="0"/>
        <v>56</v>
      </c>
      <c r="B86" s="5" t="s">
        <v>42</v>
      </c>
      <c r="C86" s="5" t="s">
        <v>9</v>
      </c>
      <c r="D86" s="8">
        <f>D84-D85</f>
        <v>-4452.869999999995</v>
      </c>
    </row>
    <row r="87" spans="1:4" s="18" customFormat="1" ht="12.75">
      <c r="A87" s="4">
        <f t="shared" si="0"/>
        <v>57</v>
      </c>
      <c r="B87" s="16" t="s">
        <v>43</v>
      </c>
      <c r="C87" s="16" t="s">
        <v>9</v>
      </c>
      <c r="D87" s="17">
        <f>123098.4</f>
        <v>123098.4</v>
      </c>
    </row>
    <row r="88" spans="1:4" s="18" customFormat="1" ht="12.75">
      <c r="A88" s="4">
        <f t="shared" si="0"/>
        <v>58</v>
      </c>
      <c r="B88" s="16" t="s">
        <v>44</v>
      </c>
      <c r="C88" s="16" t="s">
        <v>9</v>
      </c>
      <c r="D88" s="17">
        <v>126371</v>
      </c>
    </row>
    <row r="89" spans="1:4" s="18" customFormat="1" ht="12.75">
      <c r="A89" s="4">
        <f t="shared" si="0"/>
        <v>59</v>
      </c>
      <c r="B89" s="16" t="s">
        <v>45</v>
      </c>
      <c r="C89" s="16" t="s">
        <v>9</v>
      </c>
      <c r="D89" s="17">
        <f>D88-D87</f>
        <v>3272.600000000006</v>
      </c>
    </row>
    <row r="90" spans="1:7" s="18" customFormat="1" ht="25.5">
      <c r="A90" s="4">
        <f t="shared" si="0"/>
        <v>60</v>
      </c>
      <c r="B90" s="16" t="s">
        <v>46</v>
      </c>
      <c r="C90" s="16" t="s">
        <v>9</v>
      </c>
      <c r="D90" s="19">
        <v>0</v>
      </c>
      <c r="G90" s="26"/>
    </row>
    <row r="91" spans="1:7" s="7" customFormat="1" ht="25.5">
      <c r="A91" s="4">
        <f t="shared" si="0"/>
        <v>61</v>
      </c>
      <c r="B91" s="5" t="s">
        <v>36</v>
      </c>
      <c r="C91" s="5"/>
      <c r="D91" s="20" t="s">
        <v>55</v>
      </c>
      <c r="G91" s="26"/>
    </row>
    <row r="92" spans="1:7" s="7" customFormat="1" ht="12.75">
      <c r="A92" s="4">
        <f t="shared" si="0"/>
        <v>62</v>
      </c>
      <c r="B92" s="5" t="s">
        <v>37</v>
      </c>
      <c r="C92" s="5"/>
      <c r="D92" s="4" t="s">
        <v>60</v>
      </c>
      <c r="G92" s="26"/>
    </row>
    <row r="93" spans="1:7" s="7" customFormat="1" ht="12.75">
      <c r="A93" s="4">
        <f t="shared" si="0"/>
        <v>63</v>
      </c>
      <c r="B93" s="5" t="s">
        <v>38</v>
      </c>
      <c r="C93" s="5" t="s">
        <v>39</v>
      </c>
      <c r="D93" s="4">
        <v>2533</v>
      </c>
      <c r="G93" s="26"/>
    </row>
    <row r="94" spans="1:7" s="7" customFormat="1" ht="12.75">
      <c r="A94" s="4">
        <f t="shared" si="0"/>
        <v>64</v>
      </c>
      <c r="B94" s="5" t="s">
        <v>40</v>
      </c>
      <c r="C94" s="5" t="s">
        <v>9</v>
      </c>
      <c r="D94" s="8">
        <v>91728.35</v>
      </c>
      <c r="G94" s="26"/>
    </row>
    <row r="95" spans="1:7" s="7" customFormat="1" ht="12.75">
      <c r="A95" s="4">
        <f t="shared" si="0"/>
        <v>65</v>
      </c>
      <c r="B95" s="5" t="s">
        <v>41</v>
      </c>
      <c r="C95" s="5" t="s">
        <v>9</v>
      </c>
      <c r="D95" s="8">
        <v>95162.87</v>
      </c>
      <c r="G95" s="26"/>
    </row>
    <row r="96" spans="1:7" s="7" customFormat="1" ht="12.75">
      <c r="A96" s="4">
        <f t="shared" si="0"/>
        <v>66</v>
      </c>
      <c r="B96" s="5" t="s">
        <v>42</v>
      </c>
      <c r="C96" s="5" t="s">
        <v>9</v>
      </c>
      <c r="D96" s="8">
        <f>D94-D95</f>
        <v>-3434.5199999999895</v>
      </c>
      <c r="G96" s="27"/>
    </row>
    <row r="97" spans="1:7" s="18" customFormat="1" ht="12.75">
      <c r="A97" s="4">
        <f t="shared" si="0"/>
        <v>67</v>
      </c>
      <c r="B97" s="16" t="s">
        <v>43</v>
      </c>
      <c r="C97" s="16" t="s">
        <v>9</v>
      </c>
      <c r="D97" s="17">
        <f>96853.06+45.95</f>
        <v>96899.01</v>
      </c>
      <c r="G97" s="27"/>
    </row>
    <row r="98" spans="1:4" s="18" customFormat="1" ht="12.75">
      <c r="A98" s="4">
        <f t="shared" si="0"/>
        <v>68</v>
      </c>
      <c r="B98" s="16" t="s">
        <v>44</v>
      </c>
      <c r="C98" s="16" t="s">
        <v>9</v>
      </c>
      <c r="D98" s="17">
        <v>92086</v>
      </c>
    </row>
    <row r="99" spans="1:4" s="18" customFormat="1" ht="12.75">
      <c r="A99" s="4">
        <f t="shared" si="0"/>
        <v>69</v>
      </c>
      <c r="B99" s="16" t="s">
        <v>45</v>
      </c>
      <c r="C99" s="16" t="s">
        <v>9</v>
      </c>
      <c r="D99" s="17">
        <f>D98-D97</f>
        <v>-4813.009999999995</v>
      </c>
    </row>
    <row r="100" spans="1:4" s="18" customFormat="1" ht="25.5">
      <c r="A100" s="4">
        <f t="shared" si="0"/>
        <v>70</v>
      </c>
      <c r="B100" s="16" t="s">
        <v>46</v>
      </c>
      <c r="C100" s="16" t="s">
        <v>9</v>
      </c>
      <c r="D100" s="19">
        <v>0</v>
      </c>
    </row>
    <row r="101" spans="1:4" s="7" customFormat="1" ht="24">
      <c r="A101" s="4">
        <f t="shared" si="0"/>
        <v>71</v>
      </c>
      <c r="B101" s="5" t="s">
        <v>36</v>
      </c>
      <c r="C101" s="5"/>
      <c r="D101" s="15" t="s">
        <v>58</v>
      </c>
    </row>
    <row r="102" spans="1:4" s="7" customFormat="1" ht="12.75">
      <c r="A102" s="4">
        <f t="shared" si="0"/>
        <v>72</v>
      </c>
      <c r="B102" s="5" t="s">
        <v>37</v>
      </c>
      <c r="C102" s="5"/>
      <c r="D102" s="4" t="s">
        <v>61</v>
      </c>
    </row>
    <row r="103" spans="1:4" s="7" customFormat="1" ht="12.75">
      <c r="A103" s="4">
        <f t="shared" si="0"/>
        <v>73</v>
      </c>
      <c r="B103" s="5" t="s">
        <v>38</v>
      </c>
      <c r="C103" s="5" t="s">
        <v>39</v>
      </c>
      <c r="D103" s="4">
        <v>392</v>
      </c>
    </row>
    <row r="104" spans="1:4" s="7" customFormat="1" ht="12.75">
      <c r="A104" s="4">
        <f t="shared" si="0"/>
        <v>74</v>
      </c>
      <c r="B104" s="5" t="s">
        <v>40</v>
      </c>
      <c r="C104" s="5" t="s">
        <v>9</v>
      </c>
      <c r="D104" s="8">
        <f>256482.4</f>
        <v>256482.4</v>
      </c>
    </row>
    <row r="105" spans="1:4" s="7" customFormat="1" ht="12.75">
      <c r="A105" s="4">
        <f t="shared" si="0"/>
        <v>75</v>
      </c>
      <c r="B105" s="5" t="s">
        <v>41</v>
      </c>
      <c r="C105" s="5" t="s">
        <v>9</v>
      </c>
      <c r="D105" s="8">
        <v>259892.31</v>
      </c>
    </row>
    <row r="106" spans="1:4" s="7" customFormat="1" ht="12.75">
      <c r="A106" s="4">
        <f t="shared" si="0"/>
        <v>76</v>
      </c>
      <c r="B106" s="5" t="s">
        <v>42</v>
      </c>
      <c r="C106" s="5" t="s">
        <v>9</v>
      </c>
      <c r="D106" s="8">
        <f>D104-D105</f>
        <v>-3409.9100000000035</v>
      </c>
    </row>
    <row r="107" spans="1:4" s="18" customFormat="1" ht="12.75">
      <c r="A107" s="4">
        <f t="shared" si="0"/>
        <v>77</v>
      </c>
      <c r="B107" s="16" t="s">
        <v>43</v>
      </c>
      <c r="C107" s="16" t="s">
        <v>9</v>
      </c>
      <c r="D107" s="17">
        <f>308061.44+4255.04+23576.8</f>
        <v>335893.27999999997</v>
      </c>
    </row>
    <row r="108" spans="1:4" s="18" customFormat="1" ht="12.75">
      <c r="A108" s="4">
        <f t="shared" si="0"/>
        <v>78</v>
      </c>
      <c r="B108" s="16" t="s">
        <v>44</v>
      </c>
      <c r="C108" s="16" t="s">
        <v>9</v>
      </c>
      <c r="D108" s="17">
        <v>319220</v>
      </c>
    </row>
    <row r="109" spans="1:4" s="18" customFormat="1" ht="12.75">
      <c r="A109" s="4">
        <f t="shared" si="0"/>
        <v>79</v>
      </c>
      <c r="B109" s="16" t="s">
        <v>45</v>
      </c>
      <c r="C109" s="16" t="s">
        <v>9</v>
      </c>
      <c r="D109" s="17">
        <f>D108-D107</f>
        <v>-16673.27999999997</v>
      </c>
    </row>
    <row r="110" spans="1:4" s="18" customFormat="1" ht="25.5">
      <c r="A110" s="4">
        <f t="shared" si="0"/>
        <v>80</v>
      </c>
      <c r="B110" s="16" t="s">
        <v>46</v>
      </c>
      <c r="C110" s="16" t="s">
        <v>9</v>
      </c>
      <c r="D110" s="17">
        <v>0</v>
      </c>
    </row>
    <row r="111" spans="1:4" s="7" customFormat="1" ht="12.75">
      <c r="A111" s="4">
        <f t="shared" si="0"/>
        <v>81</v>
      </c>
      <c r="B111" s="5" t="s">
        <v>36</v>
      </c>
      <c r="C111" s="5"/>
      <c r="D111" s="20" t="s">
        <v>56</v>
      </c>
    </row>
    <row r="112" spans="1:4" s="7" customFormat="1" ht="12.75">
      <c r="A112" s="4">
        <f t="shared" si="0"/>
        <v>82</v>
      </c>
      <c r="B112" s="5" t="s">
        <v>37</v>
      </c>
      <c r="C112" s="5"/>
      <c r="D112" s="4" t="s">
        <v>60</v>
      </c>
    </row>
    <row r="113" spans="1:4" s="7" customFormat="1" ht="12.75">
      <c r="A113" s="4">
        <f t="shared" si="0"/>
        <v>83</v>
      </c>
      <c r="B113" s="5" t="s">
        <v>38</v>
      </c>
      <c r="C113" s="5" t="s">
        <v>39</v>
      </c>
      <c r="D113" s="4">
        <f>56.821+564.476+74.605+429.393+100.217+478.443+56.528+461.706+65.801+462.128+45.816+501.148+48.308+434.475+60.608+466.757+64.254+556.976+69.12+464.391+51.198+493.044+52.086+473.386</f>
        <v>6531.685</v>
      </c>
    </row>
    <row r="114" spans="1:4" s="7" customFormat="1" ht="12.75">
      <c r="A114" s="4">
        <f t="shared" si="0"/>
        <v>84</v>
      </c>
      <c r="B114" s="5" t="s">
        <v>40</v>
      </c>
      <c r="C114" s="5" t="s">
        <v>9</v>
      </c>
      <c r="D114" s="8">
        <v>88296.71</v>
      </c>
    </row>
    <row r="115" spans="1:4" s="7" customFormat="1" ht="12.75">
      <c r="A115" s="4">
        <f t="shared" si="0"/>
        <v>85</v>
      </c>
      <c r="B115" s="5" t="s">
        <v>41</v>
      </c>
      <c r="C115" s="5" t="s">
        <v>9</v>
      </c>
      <c r="D115" s="8">
        <v>91835.07</v>
      </c>
    </row>
    <row r="116" spans="1:4" s="7" customFormat="1" ht="12.75">
      <c r="A116" s="4">
        <f t="shared" si="0"/>
        <v>86</v>
      </c>
      <c r="B116" s="5" t="s">
        <v>42</v>
      </c>
      <c r="C116" s="5" t="s">
        <v>9</v>
      </c>
      <c r="D116" s="8">
        <f>D114-D115</f>
        <v>-3538.3600000000006</v>
      </c>
    </row>
    <row r="117" spans="1:4" s="18" customFormat="1" ht="12.75">
      <c r="A117" s="4">
        <f t="shared" si="0"/>
        <v>87</v>
      </c>
      <c r="B117" s="16" t="s">
        <v>43</v>
      </c>
      <c r="C117" s="16" t="s">
        <v>9</v>
      </c>
      <c r="D117" s="17">
        <v>93478.49</v>
      </c>
    </row>
    <row r="118" spans="1:4" s="18" customFormat="1" ht="12.75">
      <c r="A118" s="4">
        <f t="shared" si="0"/>
        <v>88</v>
      </c>
      <c r="B118" s="16" t="s">
        <v>44</v>
      </c>
      <c r="C118" s="16" t="s">
        <v>9</v>
      </c>
      <c r="D118" s="17">
        <v>95388</v>
      </c>
    </row>
    <row r="119" spans="1:4" s="18" customFormat="1" ht="12.75">
      <c r="A119" s="4">
        <f t="shared" si="0"/>
        <v>89</v>
      </c>
      <c r="B119" s="16" t="s">
        <v>45</v>
      </c>
      <c r="C119" s="16" t="s">
        <v>9</v>
      </c>
      <c r="D119" s="17">
        <f>D118-D117</f>
        <v>1909.5099999999948</v>
      </c>
    </row>
    <row r="120" spans="1:4" s="18" customFormat="1" ht="25.5">
      <c r="A120" s="4">
        <f t="shared" si="0"/>
        <v>90</v>
      </c>
      <c r="B120" s="16" t="s">
        <v>46</v>
      </c>
      <c r="C120" s="16" t="s">
        <v>9</v>
      </c>
      <c r="D120" s="19">
        <v>0</v>
      </c>
    </row>
    <row r="121" spans="1:4" s="18" customFormat="1" ht="16.5" customHeight="1">
      <c r="A121" s="36" t="s">
        <v>47</v>
      </c>
      <c r="B121" s="37"/>
      <c r="C121" s="37"/>
      <c r="D121" s="38"/>
    </row>
    <row r="122" spans="1:4" s="18" customFormat="1" ht="12.75">
      <c r="A122" s="4">
        <v>91</v>
      </c>
      <c r="B122" s="16" t="s">
        <v>27</v>
      </c>
      <c r="C122" s="16" t="s">
        <v>28</v>
      </c>
      <c r="D122" s="17">
        <v>1</v>
      </c>
    </row>
    <row r="123" spans="1:4" s="18" customFormat="1" ht="12.75">
      <c r="A123" s="4">
        <v>92</v>
      </c>
      <c r="B123" s="16" t="s">
        <v>29</v>
      </c>
      <c r="C123" s="16" t="s">
        <v>28</v>
      </c>
      <c r="D123" s="17">
        <v>1</v>
      </c>
    </row>
    <row r="124" spans="1:4" s="18" customFormat="1" ht="12.75">
      <c r="A124" s="4">
        <v>93</v>
      </c>
      <c r="B124" s="16" t="s">
        <v>31</v>
      </c>
      <c r="C124" s="16"/>
      <c r="D124" s="17">
        <v>0</v>
      </c>
    </row>
    <row r="125" spans="1:4" s="18" customFormat="1" ht="12.75">
      <c r="A125" s="4">
        <v>94</v>
      </c>
      <c r="B125" s="16" t="s">
        <v>32</v>
      </c>
      <c r="C125" s="16" t="s">
        <v>9</v>
      </c>
      <c r="D125" s="17">
        <v>9087</v>
      </c>
    </row>
    <row r="126" spans="1:4" s="18" customFormat="1" ht="21" customHeight="1">
      <c r="A126" s="36" t="s">
        <v>48</v>
      </c>
      <c r="B126" s="37"/>
      <c r="C126" s="37"/>
      <c r="D126" s="38"/>
    </row>
    <row r="127" spans="1:4" s="18" customFormat="1" ht="12.75">
      <c r="A127" s="4">
        <v>95</v>
      </c>
      <c r="B127" s="16" t="s">
        <v>49</v>
      </c>
      <c r="C127" s="16" t="s">
        <v>28</v>
      </c>
      <c r="D127" s="17">
        <v>0</v>
      </c>
    </row>
    <row r="128" spans="1:4" s="18" customFormat="1" ht="12.75">
      <c r="A128" s="4">
        <v>96</v>
      </c>
      <c r="B128" s="16" t="s">
        <v>50</v>
      </c>
      <c r="C128" s="16" t="s">
        <v>28</v>
      </c>
      <c r="D128" s="17">
        <v>0</v>
      </c>
    </row>
    <row r="129" spans="1:4" s="18" customFormat="1" ht="25.5">
      <c r="A129" s="4">
        <v>97</v>
      </c>
      <c r="B129" s="16" t="s">
        <v>51</v>
      </c>
      <c r="C129" s="16" t="s">
        <v>9</v>
      </c>
      <c r="D129" s="17">
        <v>0</v>
      </c>
    </row>
    <row r="130" spans="1:4" s="18" customFormat="1" ht="12.75">
      <c r="A130" s="21"/>
      <c r="B130" s="22"/>
      <c r="C130" s="22"/>
      <c r="D130" s="22"/>
    </row>
    <row r="131" spans="1:4" ht="15">
      <c r="A131" s="23"/>
      <c r="B131" s="24"/>
      <c r="C131" s="24"/>
      <c r="D131" s="24"/>
    </row>
    <row r="132" spans="1:4" ht="15">
      <c r="A132" s="23"/>
      <c r="B132" s="24"/>
      <c r="C132" s="24"/>
      <c r="D132" s="24"/>
    </row>
    <row r="133" spans="1:4" ht="15">
      <c r="A133" s="23"/>
      <c r="B133" s="24"/>
      <c r="C133" s="24"/>
      <c r="D133" s="24"/>
    </row>
    <row r="134" spans="1:4" ht="15">
      <c r="A134" s="23"/>
      <c r="B134" s="24"/>
      <c r="C134" s="24"/>
      <c r="D134" s="24"/>
    </row>
    <row r="135" spans="1:4" ht="15">
      <c r="A135" s="23"/>
      <c r="B135" s="24"/>
      <c r="C135" s="24"/>
      <c r="D135" s="24"/>
    </row>
    <row r="136" spans="1:4" ht="15">
      <c r="A136" s="23"/>
      <c r="B136" s="24"/>
      <c r="C136" s="24"/>
      <c r="D136" s="24"/>
    </row>
    <row r="137" spans="1:4" ht="15">
      <c r="A137" s="23"/>
      <c r="B137" s="24"/>
      <c r="C137" s="24"/>
      <c r="D137" s="24"/>
    </row>
    <row r="138" spans="1:4" ht="15">
      <c r="A138" s="23"/>
      <c r="B138" s="24"/>
      <c r="C138" s="24"/>
      <c r="D138" s="24"/>
    </row>
    <row r="139" spans="1:4" ht="15">
      <c r="A139" s="23"/>
      <c r="B139" s="24"/>
      <c r="C139" s="24"/>
      <c r="D139" s="24"/>
    </row>
    <row r="140" spans="1:4" ht="15">
      <c r="A140" s="23"/>
      <c r="B140" s="24"/>
      <c r="C140" s="24"/>
      <c r="D140" s="24"/>
    </row>
    <row r="141" spans="1:4" ht="15">
      <c r="A141" s="23"/>
      <c r="B141" s="24"/>
      <c r="C141" s="24"/>
      <c r="D141" s="24"/>
    </row>
    <row r="142" spans="1:4" ht="15">
      <c r="A142" s="23"/>
      <c r="B142" s="24"/>
      <c r="C142" s="24"/>
      <c r="D142" s="24"/>
    </row>
    <row r="143" spans="1:4" ht="15">
      <c r="A143" s="23"/>
      <c r="B143" s="24"/>
      <c r="C143" s="24"/>
      <c r="D143" s="24"/>
    </row>
    <row r="144" spans="1:4" ht="15">
      <c r="A144" s="23"/>
      <c r="B144" s="24"/>
      <c r="C144" s="24"/>
      <c r="D144" s="24"/>
    </row>
    <row r="145" spans="1:4" ht="15">
      <c r="A145" s="23"/>
      <c r="B145" s="24"/>
      <c r="C145" s="24"/>
      <c r="D145" s="24"/>
    </row>
    <row r="146" spans="1:4" ht="15">
      <c r="A146" s="23"/>
      <c r="B146" s="24"/>
      <c r="C146" s="24"/>
      <c r="D146" s="24"/>
    </row>
    <row r="147" spans="1:4" ht="15">
      <c r="A147" s="23"/>
      <c r="B147" s="24"/>
      <c r="C147" s="24"/>
      <c r="D147" s="24"/>
    </row>
    <row r="148" spans="1:4" ht="15">
      <c r="A148" s="23"/>
      <c r="B148" s="24"/>
      <c r="C148" s="24"/>
      <c r="D148" s="24"/>
    </row>
    <row r="149" spans="1:4" ht="15">
      <c r="A149" s="23"/>
      <c r="B149" s="24"/>
      <c r="C149" s="24"/>
      <c r="D149" s="24"/>
    </row>
    <row r="150" spans="1:4" ht="15">
      <c r="A150" s="23"/>
      <c r="B150" s="24"/>
      <c r="C150" s="24"/>
      <c r="D150" s="24"/>
    </row>
    <row r="151" spans="1:4" ht="15">
      <c r="A151" s="23"/>
      <c r="B151" s="24"/>
      <c r="C151" s="24"/>
      <c r="D151" s="24"/>
    </row>
    <row r="152" spans="1:4" ht="15">
      <c r="A152" s="23"/>
      <c r="B152" s="24"/>
      <c r="C152" s="24"/>
      <c r="D152" s="24"/>
    </row>
    <row r="153" spans="1:4" ht="15">
      <c r="A153" s="23"/>
      <c r="B153" s="24"/>
      <c r="C153" s="24"/>
      <c r="D153" s="24"/>
    </row>
    <row r="154" spans="1:4" ht="15">
      <c r="A154" s="23"/>
      <c r="B154" s="24"/>
      <c r="C154" s="24"/>
      <c r="D154" s="24"/>
    </row>
    <row r="155" spans="1:4" ht="15">
      <c r="A155" s="23"/>
      <c r="B155" s="24"/>
      <c r="C155" s="24"/>
      <c r="D155" s="24"/>
    </row>
    <row r="156" spans="1:4" ht="15">
      <c r="A156" s="23"/>
      <c r="B156" s="24"/>
      <c r="C156" s="24"/>
      <c r="D156" s="24"/>
    </row>
    <row r="157" spans="1:4" ht="15">
      <c r="A157" s="23"/>
      <c r="B157" s="24"/>
      <c r="C157" s="24"/>
      <c r="D157" s="24"/>
    </row>
  </sheetData>
  <sheetProtection/>
  <mergeCells count="8">
    <mergeCell ref="A121:D121"/>
    <mergeCell ref="A126:D126"/>
    <mergeCell ref="A1:D1"/>
    <mergeCell ref="A7:D7"/>
    <mergeCell ref="A25:D25"/>
    <mergeCell ref="A58:D58"/>
    <mergeCell ref="A63:D63"/>
    <mergeCell ref="A70:D70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31">
      <selection activeCell="D46" sqref="D46"/>
    </sheetView>
  </sheetViews>
  <sheetFormatPr defaultColWidth="9.140625" defaultRowHeight="15"/>
  <cols>
    <col min="1" max="1" width="6.28125" style="25" customWidth="1"/>
    <col min="2" max="2" width="51.421875" style="1" customWidth="1"/>
    <col min="3" max="3" width="9.140625" style="1" customWidth="1"/>
    <col min="4" max="4" width="17.00390625" style="1" customWidth="1"/>
    <col min="5" max="5" width="9.140625" style="1" customWidth="1"/>
    <col min="6" max="6" width="10.00390625" style="1" bestFit="1" customWidth="1"/>
    <col min="7" max="16384" width="9.140625" style="1" customWidth="1"/>
  </cols>
  <sheetData>
    <row r="1" spans="1:4" ht="34.5" customHeight="1">
      <c r="A1" s="39" t="s">
        <v>99</v>
      </c>
      <c r="B1" s="39"/>
      <c r="C1" s="39"/>
      <c r="D1" s="39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2.75">
      <c r="A4" s="4">
        <v>1</v>
      </c>
      <c r="B4" s="5" t="s">
        <v>4</v>
      </c>
      <c r="C4" s="4" t="s">
        <v>57</v>
      </c>
      <c r="D4" s="6">
        <v>42825</v>
      </c>
    </row>
    <row r="5" spans="1:4" s="7" customFormat="1" ht="12.75">
      <c r="A5" s="4">
        <v>2</v>
      </c>
      <c r="B5" s="5" t="s">
        <v>5</v>
      </c>
      <c r="C5" s="4" t="s">
        <v>57</v>
      </c>
      <c r="D5" s="6">
        <v>42370</v>
      </c>
    </row>
    <row r="6" spans="1:4" s="7" customFormat="1" ht="12.75">
      <c r="A6" s="4">
        <v>3</v>
      </c>
      <c r="B6" s="5" t="s">
        <v>6</v>
      </c>
      <c r="C6" s="4" t="s">
        <v>57</v>
      </c>
      <c r="D6" s="6">
        <v>42735</v>
      </c>
    </row>
    <row r="7" spans="1:4" s="7" customFormat="1" ht="27.75" customHeight="1">
      <c r="A7" s="36" t="s">
        <v>7</v>
      </c>
      <c r="B7" s="37"/>
      <c r="C7" s="37"/>
      <c r="D7" s="38"/>
    </row>
    <row r="8" spans="1:4" s="7" customFormat="1" ht="12.75">
      <c r="A8" s="4">
        <v>4</v>
      </c>
      <c r="B8" s="5" t="s">
        <v>8</v>
      </c>
      <c r="C8" s="5" t="s">
        <v>9</v>
      </c>
      <c r="D8" s="8">
        <f>D10-D9</f>
        <v>273647.3</v>
      </c>
    </row>
    <row r="9" spans="1:4" s="7" customFormat="1" ht="12.75">
      <c r="A9" s="4">
        <v>5</v>
      </c>
      <c r="B9" s="5" t="s">
        <v>10</v>
      </c>
      <c r="C9" s="5" t="s">
        <v>9</v>
      </c>
      <c r="D9" s="9">
        <f>15.57+0.15+428.87+4.11+0.32+2261.33+20.21+7.3+130.17+621.83+49.15</f>
        <v>3539.01</v>
      </c>
    </row>
    <row r="10" spans="1:4" s="7" customFormat="1" ht="12.75">
      <c r="A10" s="4">
        <v>6</v>
      </c>
      <c r="B10" s="5" t="s">
        <v>11</v>
      </c>
      <c r="C10" s="5" t="s">
        <v>9</v>
      </c>
      <c r="D10" s="9">
        <f>112.32+0.98+29.76+2.35+205758.26+1785.28+11191.48+54331.45+3974.43</f>
        <v>277186.31</v>
      </c>
    </row>
    <row r="11" spans="1:4" s="7" customFormat="1" ht="25.5">
      <c r="A11" s="4">
        <v>7</v>
      </c>
      <c r="B11" s="5" t="s">
        <v>12</v>
      </c>
      <c r="C11" s="5"/>
      <c r="D11" s="8">
        <f>15.57+0.15+14240+4.11+0.32+2112866.83+17006.49+102048.24+438366.19+41915.94+62830</f>
        <v>2789293.8400000003</v>
      </c>
    </row>
    <row r="12" spans="1:4" s="7" customFormat="1" ht="12.75">
      <c r="A12" s="4">
        <v>8</v>
      </c>
      <c r="B12" s="5" t="s">
        <v>13</v>
      </c>
      <c r="C12" s="5" t="s">
        <v>9</v>
      </c>
      <c r="D12" s="8">
        <f>D11-D14</f>
        <v>2086465.8400000003</v>
      </c>
    </row>
    <row r="13" spans="1:4" s="7" customFormat="1" ht="12.75">
      <c r="A13" s="4">
        <v>9</v>
      </c>
      <c r="B13" s="5" t="s">
        <v>14</v>
      </c>
      <c r="C13" s="5" t="s">
        <v>9</v>
      </c>
      <c r="D13" s="8">
        <v>0</v>
      </c>
    </row>
    <row r="14" spans="1:4" s="7" customFormat="1" ht="12.75">
      <c r="A14" s="4">
        <v>10</v>
      </c>
      <c r="B14" s="5" t="s">
        <v>15</v>
      </c>
      <c r="C14" s="5" t="s">
        <v>9</v>
      </c>
      <c r="D14" s="8">
        <v>702828</v>
      </c>
    </row>
    <row r="15" spans="1:4" s="7" customFormat="1" ht="12.75">
      <c r="A15" s="4">
        <v>11</v>
      </c>
      <c r="B15" s="5" t="s">
        <v>16</v>
      </c>
      <c r="C15" s="5" t="s">
        <v>9</v>
      </c>
      <c r="D15" s="8">
        <f>SUM(D16:D20)</f>
        <v>2910220.38</v>
      </c>
    </row>
    <row r="16" spans="1:4" s="7" customFormat="1" ht="12.75">
      <c r="A16" s="4">
        <v>12</v>
      </c>
      <c r="B16" s="5" t="s">
        <v>17</v>
      </c>
      <c r="C16" s="5" t="s">
        <v>9</v>
      </c>
      <c r="D16" s="8">
        <f>112.32+0.98+23629.97+29.76+2.35-40+63610.67+2176353.63+17666.79-7.3+106553.93+464187.88+43133.08</f>
        <v>2895234.06</v>
      </c>
    </row>
    <row r="17" spans="1:4" s="7" customFormat="1" ht="12.75">
      <c r="A17" s="4">
        <v>13</v>
      </c>
      <c r="B17" s="5" t="s">
        <v>18</v>
      </c>
      <c r="C17" s="5" t="s">
        <v>9</v>
      </c>
      <c r="D17" s="8">
        <v>0</v>
      </c>
    </row>
    <row r="18" spans="1:4" s="7" customFormat="1" ht="12.75">
      <c r="A18" s="4">
        <v>14</v>
      </c>
      <c r="B18" s="5" t="s">
        <v>19</v>
      </c>
      <c r="C18" s="5" t="s">
        <v>9</v>
      </c>
      <c r="D18" s="8">
        <v>0</v>
      </c>
    </row>
    <row r="19" spans="1:4" s="7" customFormat="1" ht="12.75">
      <c r="A19" s="4">
        <v>15</v>
      </c>
      <c r="B19" s="5" t="s">
        <v>20</v>
      </c>
      <c r="C19" s="5" t="s">
        <v>9</v>
      </c>
      <c r="D19" s="8">
        <v>14986.32</v>
      </c>
    </row>
    <row r="20" spans="1:4" s="7" customFormat="1" ht="12.75">
      <c r="A20" s="4">
        <v>16</v>
      </c>
      <c r="B20" s="5" t="s">
        <v>21</v>
      </c>
      <c r="C20" s="5" t="s">
        <v>9</v>
      </c>
      <c r="D20" s="8">
        <v>0</v>
      </c>
    </row>
    <row r="21" spans="1:4" s="7" customFormat="1" ht="12.75">
      <c r="A21" s="4">
        <v>17</v>
      </c>
      <c r="B21" s="5" t="s">
        <v>22</v>
      </c>
      <c r="C21" s="5" t="s">
        <v>9</v>
      </c>
      <c r="D21" s="8">
        <f>D8+D15</f>
        <v>3183867.6799999997</v>
      </c>
    </row>
    <row r="22" spans="1:4" s="7" customFormat="1" ht="12.75">
      <c r="A22" s="4">
        <v>18</v>
      </c>
      <c r="B22" s="5" t="s">
        <v>23</v>
      </c>
      <c r="C22" s="5" t="s">
        <v>9</v>
      </c>
      <c r="D22" s="8">
        <f>D24-D23</f>
        <v>186848.66</v>
      </c>
    </row>
    <row r="23" spans="1:4" s="7" customFormat="1" ht="12.75">
      <c r="A23" s="4">
        <v>19</v>
      </c>
      <c r="B23" s="5" t="s">
        <v>10</v>
      </c>
      <c r="C23" s="5" t="s">
        <v>9</v>
      </c>
      <c r="D23" s="9">
        <f>163.65+27299.26+213.33+1280.36+5334.81+533.57</f>
        <v>34824.98</v>
      </c>
    </row>
    <row r="24" spans="1:4" s="7" customFormat="1" ht="12.75">
      <c r="A24" s="4">
        <v>20</v>
      </c>
      <c r="B24" s="5" t="s">
        <v>11</v>
      </c>
      <c r="C24" s="5" t="s">
        <v>9</v>
      </c>
      <c r="D24" s="9">
        <f>1032.74+40+7672.98+167309.39+1318.1+7835.98+33222.74+3241.71</f>
        <v>221673.64</v>
      </c>
    </row>
    <row r="25" spans="1:4" s="7" customFormat="1" ht="26.25" customHeight="1">
      <c r="A25" s="36" t="s">
        <v>24</v>
      </c>
      <c r="B25" s="37"/>
      <c r="C25" s="37"/>
      <c r="D25" s="38"/>
    </row>
    <row r="26" spans="1:6" s="7" customFormat="1" ht="31.5" customHeight="1">
      <c r="A26" s="4">
        <v>21</v>
      </c>
      <c r="B26" s="5" t="s">
        <v>62</v>
      </c>
      <c r="C26" s="5" t="s">
        <v>9</v>
      </c>
      <c r="D26" s="8">
        <v>209824</v>
      </c>
      <c r="F26" s="14"/>
    </row>
    <row r="27" spans="1:4" s="7" customFormat="1" ht="19.5" customHeight="1">
      <c r="A27" s="4"/>
      <c r="B27" s="5" t="s">
        <v>63</v>
      </c>
      <c r="C27" s="5" t="s">
        <v>65</v>
      </c>
      <c r="D27" s="34">
        <f>D26/12/10411.7</f>
        <v>1.6793927344557882</v>
      </c>
    </row>
    <row r="28" spans="1:4" s="7" customFormat="1" ht="14.25" customHeight="1">
      <c r="A28" s="4"/>
      <c r="B28" s="5" t="s">
        <v>25</v>
      </c>
      <c r="C28" s="5"/>
      <c r="D28" s="4" t="s">
        <v>64</v>
      </c>
    </row>
    <row r="29" spans="1:4" s="7" customFormat="1" ht="26.25" customHeight="1">
      <c r="A29" s="4">
        <v>22</v>
      </c>
      <c r="B29" s="5" t="s">
        <v>66</v>
      </c>
      <c r="C29" s="5" t="s">
        <v>9</v>
      </c>
      <c r="D29" s="8">
        <v>412290</v>
      </c>
    </row>
    <row r="30" spans="1:4" s="7" customFormat="1" ht="14.25" customHeight="1">
      <c r="A30" s="4"/>
      <c r="B30" s="10" t="s">
        <v>67</v>
      </c>
      <c r="C30" s="5" t="s">
        <v>65</v>
      </c>
      <c r="D30" s="11">
        <f>D29/12/10411.7</f>
        <v>3.299893389167955</v>
      </c>
    </row>
    <row r="31" spans="1:4" s="7" customFormat="1" ht="14.25" customHeight="1">
      <c r="A31" s="12"/>
      <c r="B31" s="5" t="s">
        <v>25</v>
      </c>
      <c r="C31" s="5"/>
      <c r="D31" s="4" t="s">
        <v>68</v>
      </c>
    </row>
    <row r="32" spans="1:4" s="7" customFormat="1" ht="26.25" customHeight="1">
      <c r="A32" s="4">
        <v>23</v>
      </c>
      <c r="B32" s="5" t="s">
        <v>69</v>
      </c>
      <c r="C32" s="5" t="s">
        <v>9</v>
      </c>
      <c r="D32" s="8">
        <v>17667</v>
      </c>
    </row>
    <row r="33" spans="1:4" s="7" customFormat="1" ht="14.25" customHeight="1">
      <c r="A33" s="4"/>
      <c r="B33" s="10" t="s">
        <v>70</v>
      </c>
      <c r="C33" s="5" t="s">
        <v>65</v>
      </c>
      <c r="D33" s="11">
        <f>D32/12/10411.7</f>
        <v>0.14140342115120488</v>
      </c>
    </row>
    <row r="34" spans="1:4" s="7" customFormat="1" ht="14.25" customHeight="1">
      <c r="A34" s="12"/>
      <c r="B34" s="5" t="s">
        <v>25</v>
      </c>
      <c r="C34" s="5"/>
      <c r="D34" s="4" t="s">
        <v>71</v>
      </c>
    </row>
    <row r="35" spans="1:4" s="7" customFormat="1" ht="43.5" customHeight="1">
      <c r="A35" s="4">
        <v>24</v>
      </c>
      <c r="B35" s="5" t="s">
        <v>90</v>
      </c>
      <c r="C35" s="5" t="s">
        <v>9</v>
      </c>
      <c r="D35" s="8">
        <f>401744+49619</f>
        <v>451363</v>
      </c>
    </row>
    <row r="36" spans="1:4" s="7" customFormat="1" ht="14.25" customHeight="1">
      <c r="A36" s="4"/>
      <c r="B36" s="10" t="s">
        <v>72</v>
      </c>
      <c r="C36" s="5" t="s">
        <v>65</v>
      </c>
      <c r="D36" s="11">
        <f>401744/12/10411.7</f>
        <v>3.2154851433163327</v>
      </c>
    </row>
    <row r="37" spans="1:4" s="7" customFormat="1" ht="14.25" customHeight="1">
      <c r="A37" s="12"/>
      <c r="B37" s="5" t="s">
        <v>25</v>
      </c>
      <c r="C37" s="5"/>
      <c r="D37" s="4" t="s">
        <v>73</v>
      </c>
    </row>
    <row r="38" spans="1:4" s="7" customFormat="1" ht="14.25" customHeight="1">
      <c r="A38" s="4"/>
      <c r="B38" s="10" t="s">
        <v>74</v>
      </c>
      <c r="C38" s="5" t="s">
        <v>65</v>
      </c>
      <c r="D38" s="11">
        <f>49619/10411.7/12</f>
        <v>0.39714135699901715</v>
      </c>
    </row>
    <row r="39" spans="1:4" s="7" customFormat="1" ht="14.25" customHeight="1">
      <c r="A39" s="12"/>
      <c r="B39" s="5" t="s">
        <v>25</v>
      </c>
      <c r="C39" s="5"/>
      <c r="D39" s="4" t="s">
        <v>73</v>
      </c>
    </row>
    <row r="40" spans="1:4" s="7" customFormat="1" ht="40.5" customHeight="1">
      <c r="A40" s="4">
        <v>25</v>
      </c>
      <c r="B40" s="5" t="s">
        <v>75</v>
      </c>
      <c r="C40" s="5" t="s">
        <v>9</v>
      </c>
      <c r="D40" s="8">
        <f>103306+50640</f>
        <v>153946</v>
      </c>
    </row>
    <row r="41" spans="1:4" s="7" customFormat="1" ht="27" customHeight="1">
      <c r="A41" s="4"/>
      <c r="B41" s="10" t="s">
        <v>76</v>
      </c>
      <c r="C41" s="5" t="s">
        <v>65</v>
      </c>
      <c r="D41" s="11">
        <f>50640/12/10411.7</f>
        <v>0.40531325335920165</v>
      </c>
    </row>
    <row r="42" spans="1:4" s="7" customFormat="1" ht="14.25" customHeight="1">
      <c r="A42" s="12"/>
      <c r="B42" s="5" t="s">
        <v>25</v>
      </c>
      <c r="C42" s="5"/>
      <c r="D42" s="4" t="s">
        <v>73</v>
      </c>
    </row>
    <row r="43" spans="1:4" s="7" customFormat="1" ht="27" customHeight="1">
      <c r="A43" s="4"/>
      <c r="B43" s="10" t="s">
        <v>92</v>
      </c>
      <c r="C43" s="5" t="s">
        <v>65</v>
      </c>
      <c r="D43" s="11">
        <f>103306/12/10411.7</f>
        <v>0.8268422383792592</v>
      </c>
    </row>
    <row r="44" spans="1:4" s="7" customFormat="1" ht="14.25" customHeight="1">
      <c r="A44" s="12"/>
      <c r="B44" s="5" t="s">
        <v>25</v>
      </c>
      <c r="C44" s="5"/>
      <c r="D44" s="4" t="s">
        <v>73</v>
      </c>
    </row>
    <row r="45" spans="1:4" s="7" customFormat="1" ht="54" customHeight="1">
      <c r="A45" s="4">
        <v>26</v>
      </c>
      <c r="B45" s="5" t="s">
        <v>77</v>
      </c>
      <c r="C45" s="5" t="s">
        <v>9</v>
      </c>
      <c r="D45" s="8">
        <f>200000+217318+100000</f>
        <v>517318</v>
      </c>
    </row>
    <row r="46" spans="1:4" s="7" customFormat="1" ht="14.25" customHeight="1">
      <c r="A46" s="4"/>
      <c r="B46" s="10" t="s">
        <v>78</v>
      </c>
      <c r="C46" s="5" t="s">
        <v>65</v>
      </c>
      <c r="D46" s="11">
        <f>D45/12/10411.7</f>
        <v>4.14051819907732</v>
      </c>
    </row>
    <row r="47" spans="1:4" s="7" customFormat="1" ht="14.25" customHeight="1">
      <c r="A47" s="12"/>
      <c r="B47" s="5" t="s">
        <v>25</v>
      </c>
      <c r="C47" s="5"/>
      <c r="D47" s="4" t="s">
        <v>68</v>
      </c>
    </row>
    <row r="48" spans="1:4" s="7" customFormat="1" ht="16.5" customHeight="1">
      <c r="A48" s="4">
        <v>27</v>
      </c>
      <c r="B48" s="5" t="s">
        <v>79</v>
      </c>
      <c r="C48" s="5" t="s">
        <v>9</v>
      </c>
      <c r="D48" s="8">
        <v>102060</v>
      </c>
    </row>
    <row r="49" spans="1:4" s="7" customFormat="1" ht="14.25" customHeight="1">
      <c r="A49" s="4"/>
      <c r="B49" s="10" t="s">
        <v>80</v>
      </c>
      <c r="C49" s="5" t="s">
        <v>65</v>
      </c>
      <c r="D49" s="11">
        <f>D48/12/10411.7</f>
        <v>0.8168694833696706</v>
      </c>
    </row>
    <row r="50" spans="1:4" s="7" customFormat="1" ht="14.25" customHeight="1">
      <c r="A50" s="12"/>
      <c r="B50" s="5" t="s">
        <v>25</v>
      </c>
      <c r="C50" s="5"/>
      <c r="D50" s="4" t="s">
        <v>81</v>
      </c>
    </row>
    <row r="51" spans="1:4" s="7" customFormat="1" ht="29.25" customHeight="1">
      <c r="A51" s="4">
        <v>28</v>
      </c>
      <c r="B51" s="5" t="s">
        <v>82</v>
      </c>
      <c r="C51" s="5" t="s">
        <v>9</v>
      </c>
      <c r="D51" s="8">
        <v>381221</v>
      </c>
    </row>
    <row r="52" spans="1:4" s="7" customFormat="1" ht="14.25" customHeight="1">
      <c r="A52" s="4"/>
      <c r="B52" s="10" t="s">
        <v>83</v>
      </c>
      <c r="C52" s="5" t="s">
        <v>65</v>
      </c>
      <c r="D52" s="11">
        <f>D51/12/10411.7</f>
        <v>3.051222823042026</v>
      </c>
    </row>
    <row r="53" spans="1:4" s="7" customFormat="1" ht="14.25" customHeight="1">
      <c r="A53" s="12"/>
      <c r="B53" s="5" t="s">
        <v>25</v>
      </c>
      <c r="C53" s="5"/>
      <c r="D53" s="4" t="s">
        <v>68</v>
      </c>
    </row>
    <row r="54" spans="1:4" s="7" customFormat="1" ht="29.25" customHeight="1">
      <c r="A54" s="4">
        <v>29</v>
      </c>
      <c r="B54" s="5" t="s">
        <v>84</v>
      </c>
      <c r="C54" s="5" t="s">
        <v>9</v>
      </c>
      <c r="D54" s="8">
        <f>698349-200000-100000</f>
        <v>398349</v>
      </c>
    </row>
    <row r="55" spans="1:4" s="7" customFormat="1" ht="14.25" customHeight="1">
      <c r="A55" s="4"/>
      <c r="B55" s="10" t="s">
        <v>85</v>
      </c>
      <c r="C55" s="5" t="s">
        <v>65</v>
      </c>
      <c r="D55" s="11">
        <f>D54/12/10411.7</f>
        <v>3.188312187250881</v>
      </c>
    </row>
    <row r="56" spans="1:4" s="7" customFormat="1" ht="14.25" customHeight="1">
      <c r="A56" s="12"/>
      <c r="B56" s="5" t="s">
        <v>25</v>
      </c>
      <c r="C56" s="5"/>
      <c r="D56" s="4" t="s">
        <v>73</v>
      </c>
    </row>
    <row r="57" spans="1:4" s="7" customFormat="1" ht="29.25" customHeight="1">
      <c r="A57" s="4">
        <v>30</v>
      </c>
      <c r="B57" s="5" t="s">
        <v>86</v>
      </c>
      <c r="C57" s="5" t="s">
        <v>9</v>
      </c>
      <c r="D57" s="8">
        <v>58879</v>
      </c>
    </row>
    <row r="58" spans="1:4" s="7" customFormat="1" ht="14.25" customHeight="1">
      <c r="A58" s="4"/>
      <c r="B58" s="10" t="s">
        <v>87</v>
      </c>
      <c r="C58" s="5" t="s">
        <v>65</v>
      </c>
      <c r="D58" s="13">
        <v>0.5</v>
      </c>
    </row>
    <row r="59" spans="1:4" s="7" customFormat="1" ht="29.25" customHeight="1">
      <c r="A59" s="12"/>
      <c r="B59" s="5" t="s">
        <v>25</v>
      </c>
      <c r="C59" s="5"/>
      <c r="D59" s="4" t="s">
        <v>88</v>
      </c>
    </row>
    <row r="60" spans="1:4" s="7" customFormat="1" ht="16.5" customHeight="1">
      <c r="A60" s="36" t="s">
        <v>26</v>
      </c>
      <c r="B60" s="37"/>
      <c r="C60" s="37"/>
      <c r="D60" s="38"/>
    </row>
    <row r="61" spans="1:4" s="7" customFormat="1" ht="14.25" customHeight="1">
      <c r="A61" s="4">
        <f>A57+1</f>
        <v>31</v>
      </c>
      <c r="B61" s="5" t="s">
        <v>27</v>
      </c>
      <c r="C61" s="5" t="s">
        <v>28</v>
      </c>
      <c r="D61" s="4">
        <v>0</v>
      </c>
    </row>
    <row r="62" spans="1:4" s="7" customFormat="1" ht="14.25" customHeight="1">
      <c r="A62" s="4">
        <f>A61+1</f>
        <v>32</v>
      </c>
      <c r="B62" s="5" t="s">
        <v>29</v>
      </c>
      <c r="C62" s="5" t="s">
        <v>30</v>
      </c>
      <c r="D62" s="4">
        <v>0</v>
      </c>
    </row>
    <row r="63" spans="1:4" s="7" customFormat="1" ht="14.25" customHeight="1">
      <c r="A63" s="4">
        <f>A62+1</f>
        <v>33</v>
      </c>
      <c r="B63" s="5" t="s">
        <v>31</v>
      </c>
      <c r="C63" s="5" t="s">
        <v>28</v>
      </c>
      <c r="D63" s="4">
        <v>0</v>
      </c>
    </row>
    <row r="64" spans="1:4" s="7" customFormat="1" ht="14.25" customHeight="1">
      <c r="A64" s="4">
        <f>A63+1</f>
        <v>34</v>
      </c>
      <c r="B64" s="5" t="s">
        <v>32</v>
      </c>
      <c r="C64" s="5" t="s">
        <v>9</v>
      </c>
      <c r="D64" s="4">
        <v>0</v>
      </c>
    </row>
    <row r="65" spans="1:4" s="7" customFormat="1" ht="17.25" customHeight="1">
      <c r="A65" s="36" t="s">
        <v>33</v>
      </c>
      <c r="B65" s="37"/>
      <c r="C65" s="37"/>
      <c r="D65" s="38"/>
    </row>
    <row r="66" spans="1:4" s="7" customFormat="1" ht="25.5">
      <c r="A66" s="4">
        <f>A64+1</f>
        <v>35</v>
      </c>
      <c r="B66" s="5" t="s">
        <v>34</v>
      </c>
      <c r="C66" s="5" t="s">
        <v>9</v>
      </c>
      <c r="D66" s="8">
        <f>D68-D67</f>
        <v>287623.74</v>
      </c>
    </row>
    <row r="67" spans="1:4" s="7" customFormat="1" ht="15" customHeight="1">
      <c r="A67" s="4">
        <f>A66+1</f>
        <v>36</v>
      </c>
      <c r="B67" s="5" t="s">
        <v>10</v>
      </c>
      <c r="C67" s="5" t="s">
        <v>9</v>
      </c>
      <c r="D67" s="8">
        <f>2171.24+244.79+217.22+307.28+736.69</f>
        <v>3677.22</v>
      </c>
    </row>
    <row r="68" spans="1:4" s="7" customFormat="1" ht="15" customHeight="1">
      <c r="A68" s="4">
        <f>A67+1</f>
        <v>37</v>
      </c>
      <c r="B68" s="5" t="s">
        <v>11</v>
      </c>
      <c r="C68" s="5" t="s">
        <v>9</v>
      </c>
      <c r="D68" s="8">
        <f>108712.16+38248.69+30169.28+31995.8+86424.86-4249.83</f>
        <v>291300.95999999996</v>
      </c>
    </row>
    <row r="69" spans="1:4" s="7" customFormat="1" ht="25.5">
      <c r="A69" s="4">
        <f>A68+1</f>
        <v>38</v>
      </c>
      <c r="B69" s="5" t="s">
        <v>35</v>
      </c>
      <c r="C69" s="5" t="s">
        <v>9</v>
      </c>
      <c r="D69" s="8">
        <f>D71-D70</f>
        <v>189336.17000000004</v>
      </c>
    </row>
    <row r="70" spans="1:4" s="7" customFormat="1" ht="13.5" customHeight="1">
      <c r="A70" s="4">
        <f>A69+1</f>
        <v>39</v>
      </c>
      <c r="B70" s="5" t="s">
        <v>10</v>
      </c>
      <c r="C70" s="5" t="s">
        <v>9</v>
      </c>
      <c r="D70" s="8">
        <f>34298.9+2779.02+2019.69+1947.52+7056.42</f>
        <v>48101.549999999996</v>
      </c>
    </row>
    <row r="71" spans="1:5" s="7" customFormat="1" ht="13.5" customHeight="1">
      <c r="A71" s="4">
        <f>A70+1</f>
        <v>40</v>
      </c>
      <c r="B71" s="5" t="s">
        <v>11</v>
      </c>
      <c r="C71" s="5" t="s">
        <v>9</v>
      </c>
      <c r="D71" s="8">
        <f>57880.01+42309.5+31274.75+28682.6+77290.86</f>
        <v>237437.72000000003</v>
      </c>
      <c r="E71" s="14"/>
    </row>
    <row r="72" spans="1:4" s="7" customFormat="1" ht="18" customHeight="1">
      <c r="A72" s="36" t="s">
        <v>52</v>
      </c>
      <c r="B72" s="37"/>
      <c r="C72" s="37"/>
      <c r="D72" s="38"/>
    </row>
    <row r="73" spans="1:4" s="7" customFormat="1" ht="12.75">
      <c r="A73" s="4">
        <f>A71+1</f>
        <v>41</v>
      </c>
      <c r="B73" s="5" t="s">
        <v>36</v>
      </c>
      <c r="C73" s="5"/>
      <c r="D73" s="15" t="s">
        <v>53</v>
      </c>
    </row>
    <row r="74" spans="1:4" s="7" customFormat="1" ht="12.75">
      <c r="A74" s="4">
        <f>A73+1</f>
        <v>42</v>
      </c>
      <c r="B74" s="5" t="s">
        <v>37</v>
      </c>
      <c r="C74" s="5"/>
      <c r="D74" s="4" t="s">
        <v>59</v>
      </c>
    </row>
    <row r="75" spans="1:4" s="7" customFormat="1" ht="12.75">
      <c r="A75" s="4">
        <f aca="true" t="shared" si="0" ref="A75:A122">A74+1</f>
        <v>43</v>
      </c>
      <c r="B75" s="5" t="s">
        <v>38</v>
      </c>
      <c r="C75" s="5" t="s">
        <v>39</v>
      </c>
      <c r="D75" s="4">
        <f>(40.38+34.478+30.965+28.004+32.756+30.743+30.015+28.974+27.42+33.79+36.767+33.496)*1000</f>
        <v>387788</v>
      </c>
    </row>
    <row r="76" spans="1:4" s="7" customFormat="1" ht="12.75">
      <c r="A76" s="4">
        <f t="shared" si="0"/>
        <v>44</v>
      </c>
      <c r="B76" s="5" t="s">
        <v>40</v>
      </c>
      <c r="C76" s="5" t="s">
        <v>9</v>
      </c>
      <c r="D76" s="8">
        <v>809069.17</v>
      </c>
    </row>
    <row r="77" spans="1:4" s="7" customFormat="1" ht="12.75">
      <c r="A77" s="4">
        <f t="shared" si="0"/>
        <v>45</v>
      </c>
      <c r="B77" s="5" t="s">
        <v>41</v>
      </c>
      <c r="C77" s="5" t="s">
        <v>9</v>
      </c>
      <c r="D77" s="8">
        <v>824522.9</v>
      </c>
    </row>
    <row r="78" spans="1:4" s="7" customFormat="1" ht="12.75">
      <c r="A78" s="4">
        <f t="shared" si="0"/>
        <v>46</v>
      </c>
      <c r="B78" s="5" t="s">
        <v>42</v>
      </c>
      <c r="C78" s="5" t="s">
        <v>9</v>
      </c>
      <c r="D78" s="8">
        <f>D76-D77</f>
        <v>-15453.729999999981</v>
      </c>
    </row>
    <row r="79" spans="1:4" s="18" customFormat="1" ht="12.75">
      <c r="A79" s="4">
        <f t="shared" si="0"/>
        <v>47</v>
      </c>
      <c r="B79" s="16" t="s">
        <v>43</v>
      </c>
      <c r="C79" s="16" t="s">
        <v>9</v>
      </c>
      <c r="D79" s="17">
        <f>795727.5+28683.43</f>
        <v>824410.93</v>
      </c>
    </row>
    <row r="80" spans="1:4" s="18" customFormat="1" ht="12.75">
      <c r="A80" s="4">
        <f t="shared" si="0"/>
        <v>48</v>
      </c>
      <c r="B80" s="16" t="s">
        <v>44</v>
      </c>
      <c r="C80" s="16" t="s">
        <v>9</v>
      </c>
      <c r="D80" s="17">
        <v>830235</v>
      </c>
    </row>
    <row r="81" spans="1:4" s="18" customFormat="1" ht="12.75">
      <c r="A81" s="4">
        <f t="shared" si="0"/>
        <v>49</v>
      </c>
      <c r="B81" s="16" t="s">
        <v>45</v>
      </c>
      <c r="C81" s="16" t="s">
        <v>9</v>
      </c>
      <c r="D81" s="17">
        <f>D80-D79</f>
        <v>5824.069999999949</v>
      </c>
    </row>
    <row r="82" spans="1:4" s="18" customFormat="1" ht="25.5">
      <c r="A82" s="4">
        <f t="shared" si="0"/>
        <v>50</v>
      </c>
      <c r="B82" s="16" t="s">
        <v>46</v>
      </c>
      <c r="C82" s="16" t="s">
        <v>9</v>
      </c>
      <c r="D82" s="19">
        <v>0</v>
      </c>
    </row>
    <row r="83" spans="1:4" s="7" customFormat="1" ht="24">
      <c r="A83" s="4">
        <f t="shared" si="0"/>
        <v>51</v>
      </c>
      <c r="B83" s="5" t="s">
        <v>36</v>
      </c>
      <c r="C83" s="5"/>
      <c r="D83" s="15" t="s">
        <v>54</v>
      </c>
    </row>
    <row r="84" spans="1:4" s="7" customFormat="1" ht="12.75">
      <c r="A84" s="4">
        <f t="shared" si="0"/>
        <v>52</v>
      </c>
      <c r="B84" s="5" t="s">
        <v>37</v>
      </c>
      <c r="C84" s="5"/>
      <c r="D84" s="4" t="s">
        <v>60</v>
      </c>
    </row>
    <row r="85" spans="1:4" s="7" customFormat="1" ht="12.75">
      <c r="A85" s="4">
        <f t="shared" si="0"/>
        <v>53</v>
      </c>
      <c r="B85" s="5" t="s">
        <v>38</v>
      </c>
      <c r="C85" s="5" t="s">
        <v>39</v>
      </c>
      <c r="D85" s="4">
        <f>36.126+1220.874+32.887+1234.113+1+26.782+1245.218+1+27.523+1200.477+1+23.717+1211.283+1+26.01+1302.99+36+37.027+1184.973+14+25.069+1311.931+28+39.903+1679.046+49.84+25.073+1171.927+21+35.84+1233.16+4+29.109+1373.891+4+20.972+1289.028+6</f>
        <v>17211.789</v>
      </c>
    </row>
    <row r="86" spans="1:4" s="7" customFormat="1" ht="12.75">
      <c r="A86" s="4">
        <f t="shared" si="0"/>
        <v>54</v>
      </c>
      <c r="B86" s="5" t="s">
        <v>40</v>
      </c>
      <c r="C86" s="5" t="s">
        <v>9</v>
      </c>
      <c r="D86" s="8">
        <v>404138.47</v>
      </c>
    </row>
    <row r="87" spans="1:4" s="7" customFormat="1" ht="12.75">
      <c r="A87" s="4">
        <f t="shared" si="0"/>
        <v>55</v>
      </c>
      <c r="B87" s="5" t="s">
        <v>41</v>
      </c>
      <c r="C87" s="5" t="s">
        <v>9</v>
      </c>
      <c r="D87" s="8">
        <v>402611.89</v>
      </c>
    </row>
    <row r="88" spans="1:4" s="7" customFormat="1" ht="12.75">
      <c r="A88" s="4">
        <f t="shared" si="0"/>
        <v>56</v>
      </c>
      <c r="B88" s="5" t="s">
        <v>42</v>
      </c>
      <c r="C88" s="5" t="s">
        <v>9</v>
      </c>
      <c r="D88" s="8">
        <f>D86-D87</f>
        <v>1526.579999999958</v>
      </c>
    </row>
    <row r="89" spans="1:4" s="18" customFormat="1" ht="12.75">
      <c r="A89" s="4">
        <f t="shared" si="0"/>
        <v>57</v>
      </c>
      <c r="B89" s="16" t="s">
        <v>43</v>
      </c>
      <c r="C89" s="16" t="s">
        <v>9</v>
      </c>
      <c r="D89" s="17">
        <f>431017.08+3587.62+199.3</f>
        <v>434804</v>
      </c>
    </row>
    <row r="90" spans="1:4" s="18" customFormat="1" ht="12.75">
      <c r="A90" s="4">
        <f t="shared" si="0"/>
        <v>58</v>
      </c>
      <c r="B90" s="16" t="s">
        <v>44</v>
      </c>
      <c r="C90" s="16" t="s">
        <v>9</v>
      </c>
      <c r="D90" s="17">
        <v>446693</v>
      </c>
    </row>
    <row r="91" spans="1:4" s="18" customFormat="1" ht="12.75">
      <c r="A91" s="4">
        <f t="shared" si="0"/>
        <v>59</v>
      </c>
      <c r="B91" s="16" t="s">
        <v>45</v>
      </c>
      <c r="C91" s="16" t="s">
        <v>9</v>
      </c>
      <c r="D91" s="17">
        <f>D90-D89</f>
        <v>11889</v>
      </c>
    </row>
    <row r="92" spans="1:4" s="18" customFormat="1" ht="25.5">
      <c r="A92" s="4">
        <f t="shared" si="0"/>
        <v>60</v>
      </c>
      <c r="B92" s="16" t="s">
        <v>46</v>
      </c>
      <c r="C92" s="16" t="s">
        <v>9</v>
      </c>
      <c r="D92" s="19">
        <v>0</v>
      </c>
    </row>
    <row r="93" spans="1:4" s="7" customFormat="1" ht="25.5">
      <c r="A93" s="4">
        <f t="shared" si="0"/>
        <v>61</v>
      </c>
      <c r="B93" s="5" t="s">
        <v>36</v>
      </c>
      <c r="C93" s="5"/>
      <c r="D93" s="20" t="s">
        <v>55</v>
      </c>
    </row>
    <row r="94" spans="1:4" s="7" customFormat="1" ht="12.75">
      <c r="A94" s="4">
        <f t="shared" si="0"/>
        <v>62</v>
      </c>
      <c r="B94" s="5" t="s">
        <v>37</v>
      </c>
      <c r="C94" s="5"/>
      <c r="D94" s="4" t="s">
        <v>60</v>
      </c>
    </row>
    <row r="95" spans="1:4" s="7" customFormat="1" ht="12.75">
      <c r="A95" s="4">
        <f t="shared" si="0"/>
        <v>63</v>
      </c>
      <c r="B95" s="5" t="s">
        <v>38</v>
      </c>
      <c r="C95" s="5" t="s">
        <v>39</v>
      </c>
      <c r="D95" s="4">
        <v>8080</v>
      </c>
    </row>
    <row r="96" spans="1:4" s="7" customFormat="1" ht="12.75">
      <c r="A96" s="4">
        <f t="shared" si="0"/>
        <v>64</v>
      </c>
      <c r="B96" s="5" t="s">
        <v>40</v>
      </c>
      <c r="C96" s="5" t="s">
        <v>9</v>
      </c>
      <c r="D96" s="8">
        <v>256733.84</v>
      </c>
    </row>
    <row r="97" spans="1:4" s="7" customFormat="1" ht="12.75">
      <c r="A97" s="4">
        <f t="shared" si="0"/>
        <v>65</v>
      </c>
      <c r="B97" s="5" t="s">
        <v>41</v>
      </c>
      <c r="C97" s="5" t="s">
        <v>9</v>
      </c>
      <c r="D97" s="8">
        <v>261687.28</v>
      </c>
    </row>
    <row r="98" spans="1:4" s="7" customFormat="1" ht="12.75">
      <c r="A98" s="4">
        <f t="shared" si="0"/>
        <v>66</v>
      </c>
      <c r="B98" s="5" t="s">
        <v>42</v>
      </c>
      <c r="C98" s="5" t="s">
        <v>9</v>
      </c>
      <c r="D98" s="8">
        <f>D96-D97</f>
        <v>-4953.440000000002</v>
      </c>
    </row>
    <row r="99" spans="1:4" s="18" customFormat="1" ht="12.75">
      <c r="A99" s="4">
        <f t="shared" si="0"/>
        <v>67</v>
      </c>
      <c r="B99" s="16" t="s">
        <v>43</v>
      </c>
      <c r="C99" s="16" t="s">
        <v>9</v>
      </c>
      <c r="D99" s="17">
        <f>263097.26+407.49</f>
        <v>263504.75</v>
      </c>
    </row>
    <row r="100" spans="1:4" s="18" customFormat="1" ht="12.75">
      <c r="A100" s="4">
        <f t="shared" si="0"/>
        <v>68</v>
      </c>
      <c r="B100" s="16" t="s">
        <v>44</v>
      </c>
      <c r="C100" s="16" t="s">
        <v>9</v>
      </c>
      <c r="D100" s="17">
        <v>250643</v>
      </c>
    </row>
    <row r="101" spans="1:4" s="18" customFormat="1" ht="12.75">
      <c r="A101" s="4">
        <f t="shared" si="0"/>
        <v>69</v>
      </c>
      <c r="B101" s="16" t="s">
        <v>45</v>
      </c>
      <c r="C101" s="16" t="s">
        <v>9</v>
      </c>
      <c r="D101" s="17">
        <f>D100-D99</f>
        <v>-12861.75</v>
      </c>
    </row>
    <row r="102" spans="1:4" s="18" customFormat="1" ht="25.5">
      <c r="A102" s="4">
        <f t="shared" si="0"/>
        <v>70</v>
      </c>
      <c r="B102" s="16" t="s">
        <v>46</v>
      </c>
      <c r="C102" s="16" t="s">
        <v>9</v>
      </c>
      <c r="D102" s="19">
        <v>0</v>
      </c>
    </row>
    <row r="103" spans="1:4" s="7" customFormat="1" ht="24">
      <c r="A103" s="4">
        <f t="shared" si="0"/>
        <v>71</v>
      </c>
      <c r="B103" s="5" t="s">
        <v>36</v>
      </c>
      <c r="C103" s="5"/>
      <c r="D103" s="15" t="s">
        <v>58</v>
      </c>
    </row>
    <row r="104" spans="1:4" s="7" customFormat="1" ht="12.75">
      <c r="A104" s="4">
        <f t="shared" si="0"/>
        <v>72</v>
      </c>
      <c r="B104" s="5" t="s">
        <v>37</v>
      </c>
      <c r="C104" s="5"/>
      <c r="D104" s="4" t="s">
        <v>61</v>
      </c>
    </row>
    <row r="105" spans="1:4" s="7" customFormat="1" ht="12.75">
      <c r="A105" s="4">
        <f t="shared" si="0"/>
        <v>73</v>
      </c>
      <c r="B105" s="5" t="s">
        <v>38</v>
      </c>
      <c r="C105" s="5" t="s">
        <v>39</v>
      </c>
      <c r="D105" s="4">
        <v>1192</v>
      </c>
    </row>
    <row r="106" spans="1:4" s="7" customFormat="1" ht="12.75">
      <c r="A106" s="4">
        <f t="shared" si="0"/>
        <v>74</v>
      </c>
      <c r="B106" s="5" t="s">
        <v>40</v>
      </c>
      <c r="C106" s="5" t="s">
        <v>9</v>
      </c>
      <c r="D106" s="8">
        <v>-543116.72</v>
      </c>
    </row>
    <row r="107" spans="1:4" s="7" customFormat="1" ht="12.75">
      <c r="A107" s="4">
        <f t="shared" si="0"/>
        <v>75</v>
      </c>
      <c r="B107" s="5" t="s">
        <v>41</v>
      </c>
      <c r="C107" s="5" t="s">
        <v>9</v>
      </c>
      <c r="D107" s="8">
        <v>-460156.91</v>
      </c>
    </row>
    <row r="108" spans="1:4" s="7" customFormat="1" ht="12.75">
      <c r="A108" s="4">
        <f t="shared" si="0"/>
        <v>76</v>
      </c>
      <c r="B108" s="5" t="s">
        <v>42</v>
      </c>
      <c r="C108" s="5" t="s">
        <v>9</v>
      </c>
      <c r="D108" s="8">
        <f>D106-D107</f>
        <v>-82959.81</v>
      </c>
    </row>
    <row r="109" spans="1:4" s="18" customFormat="1" ht="12.75">
      <c r="A109" s="4">
        <f t="shared" si="0"/>
        <v>77</v>
      </c>
      <c r="B109" s="16" t="s">
        <v>43</v>
      </c>
      <c r="C109" s="16" t="s">
        <v>9</v>
      </c>
      <c r="D109" s="17">
        <v>869513</v>
      </c>
    </row>
    <row r="110" spans="1:4" s="18" customFormat="1" ht="12.75">
      <c r="A110" s="4">
        <f t="shared" si="0"/>
        <v>78</v>
      </c>
      <c r="B110" s="16" t="s">
        <v>44</v>
      </c>
      <c r="C110" s="16" t="s">
        <v>9</v>
      </c>
      <c r="D110" s="17">
        <v>844603</v>
      </c>
    </row>
    <row r="111" spans="1:4" s="18" customFormat="1" ht="12.75">
      <c r="A111" s="4">
        <f t="shared" si="0"/>
        <v>79</v>
      </c>
      <c r="B111" s="16" t="s">
        <v>45</v>
      </c>
      <c r="C111" s="16" t="s">
        <v>9</v>
      </c>
      <c r="D111" s="17">
        <f>D110-D109</f>
        <v>-24910</v>
      </c>
    </row>
    <row r="112" spans="1:4" s="18" customFormat="1" ht="25.5">
      <c r="A112" s="4">
        <f t="shared" si="0"/>
        <v>80</v>
      </c>
      <c r="B112" s="16" t="s">
        <v>46</v>
      </c>
      <c r="C112" s="16" t="s">
        <v>9</v>
      </c>
      <c r="D112" s="19">
        <v>0</v>
      </c>
    </row>
    <row r="113" spans="1:4" s="7" customFormat="1" ht="12.75">
      <c r="A113" s="4">
        <f t="shared" si="0"/>
        <v>81</v>
      </c>
      <c r="B113" s="5" t="s">
        <v>36</v>
      </c>
      <c r="C113" s="5"/>
      <c r="D113" s="20" t="s">
        <v>56</v>
      </c>
    </row>
    <row r="114" spans="1:4" s="7" customFormat="1" ht="12.75">
      <c r="A114" s="4">
        <f t="shared" si="0"/>
        <v>82</v>
      </c>
      <c r="B114" s="5" t="s">
        <v>37</v>
      </c>
      <c r="C114" s="5"/>
      <c r="D114" s="4" t="s">
        <v>60</v>
      </c>
    </row>
    <row r="115" spans="1:4" s="7" customFormat="1" ht="12.75">
      <c r="A115" s="4">
        <f t="shared" si="0"/>
        <v>83</v>
      </c>
      <c r="B115" s="5" t="s">
        <v>38</v>
      </c>
      <c r="C115" s="5" t="s">
        <v>39</v>
      </c>
      <c r="D115" s="4">
        <f>48.97+1824.731+51.166+1903.706+1.78+40.258+1913.059+1.78+48.982+1835.627+1.78+35.325+1803.452+1.78+38.378+1929.867+64.08+51.897+1658.824+24.92+39.121+1665.882+37.38+54.627+1725.813+7.12+45.533+1916.043+7.12+32.226+1888.772+10.68</f>
        <v>20710.678999999996</v>
      </c>
    </row>
    <row r="116" spans="1:4" s="7" customFormat="1" ht="12.75">
      <c r="A116" s="4">
        <f t="shared" si="0"/>
        <v>84</v>
      </c>
      <c r="B116" s="5" t="s">
        <v>40</v>
      </c>
      <c r="C116" s="5" t="s">
        <v>9</v>
      </c>
      <c r="D116" s="8">
        <v>294180.23</v>
      </c>
    </row>
    <row r="117" spans="1:4" s="7" customFormat="1" ht="12.75">
      <c r="A117" s="4">
        <f t="shared" si="0"/>
        <v>85</v>
      </c>
      <c r="B117" s="5" t="s">
        <v>41</v>
      </c>
      <c r="C117" s="5" t="s">
        <v>9</v>
      </c>
      <c r="D117" s="8">
        <v>294877.23</v>
      </c>
    </row>
    <row r="118" spans="1:4" s="7" customFormat="1" ht="12.75">
      <c r="A118" s="4">
        <f t="shared" si="0"/>
        <v>86</v>
      </c>
      <c r="B118" s="5" t="s">
        <v>42</v>
      </c>
      <c r="C118" s="5" t="s">
        <v>9</v>
      </c>
      <c r="D118" s="8">
        <f>D116-D117</f>
        <v>-697</v>
      </c>
    </row>
    <row r="119" spans="1:6" s="18" customFormat="1" ht="12.75">
      <c r="A119" s="4">
        <f t="shared" si="0"/>
        <v>87</v>
      </c>
      <c r="B119" s="16" t="s">
        <v>43</v>
      </c>
      <c r="C119" s="16" t="s">
        <v>9</v>
      </c>
      <c r="D119" s="17">
        <f>305492.68+220.41</f>
        <v>305713.08999999997</v>
      </c>
      <c r="F119" s="26"/>
    </row>
    <row r="120" spans="1:6" s="18" customFormat="1" ht="12.75">
      <c r="A120" s="4">
        <f t="shared" si="0"/>
        <v>88</v>
      </c>
      <c r="B120" s="16" t="s">
        <v>44</v>
      </c>
      <c r="C120" s="16" t="s">
        <v>9</v>
      </c>
      <c r="D120" s="17">
        <v>312035</v>
      </c>
      <c r="F120" s="26"/>
    </row>
    <row r="121" spans="1:6" s="18" customFormat="1" ht="12.75">
      <c r="A121" s="4">
        <f t="shared" si="0"/>
        <v>89</v>
      </c>
      <c r="B121" s="16" t="s">
        <v>45</v>
      </c>
      <c r="C121" s="16" t="s">
        <v>9</v>
      </c>
      <c r="D121" s="17">
        <f>D120-D119</f>
        <v>6321.910000000033</v>
      </c>
      <c r="F121" s="26"/>
    </row>
    <row r="122" spans="1:4" s="18" customFormat="1" ht="25.5">
      <c r="A122" s="4">
        <f t="shared" si="0"/>
        <v>90</v>
      </c>
      <c r="B122" s="16" t="s">
        <v>46</v>
      </c>
      <c r="C122" s="16" t="s">
        <v>9</v>
      </c>
      <c r="D122" s="19">
        <v>0</v>
      </c>
    </row>
    <row r="123" spans="1:4" s="18" customFormat="1" ht="16.5" customHeight="1">
      <c r="A123" s="36" t="s">
        <v>47</v>
      </c>
      <c r="B123" s="37"/>
      <c r="C123" s="37"/>
      <c r="D123" s="38"/>
    </row>
    <row r="124" spans="1:4" s="18" customFormat="1" ht="12.75">
      <c r="A124" s="4">
        <v>91</v>
      </c>
      <c r="B124" s="16" t="s">
        <v>27</v>
      </c>
      <c r="C124" s="16" t="s">
        <v>28</v>
      </c>
      <c r="D124" s="19">
        <v>2</v>
      </c>
    </row>
    <row r="125" spans="1:4" s="18" customFormat="1" ht="12.75">
      <c r="A125" s="4">
        <v>92</v>
      </c>
      <c r="B125" s="16" t="s">
        <v>29</v>
      </c>
      <c r="C125" s="16" t="s">
        <v>28</v>
      </c>
      <c r="D125" s="19">
        <v>2</v>
      </c>
    </row>
    <row r="126" spans="1:4" s="18" customFormat="1" ht="12.75">
      <c r="A126" s="4">
        <v>93</v>
      </c>
      <c r="B126" s="16" t="s">
        <v>31</v>
      </c>
      <c r="C126" s="16"/>
      <c r="D126" s="19">
        <v>0</v>
      </c>
    </row>
    <row r="127" spans="1:4" s="18" customFormat="1" ht="12.75">
      <c r="A127" s="4">
        <v>94</v>
      </c>
      <c r="B127" s="16" t="s">
        <v>32</v>
      </c>
      <c r="C127" s="16" t="s">
        <v>9</v>
      </c>
      <c r="D127" s="19">
        <v>10770</v>
      </c>
    </row>
    <row r="128" spans="1:4" s="18" customFormat="1" ht="21" customHeight="1">
      <c r="A128" s="36" t="s">
        <v>48</v>
      </c>
      <c r="B128" s="37"/>
      <c r="C128" s="37"/>
      <c r="D128" s="38"/>
    </row>
    <row r="129" spans="1:4" s="18" customFormat="1" ht="12.75">
      <c r="A129" s="4">
        <v>95</v>
      </c>
      <c r="B129" s="16" t="s">
        <v>49</v>
      </c>
      <c r="C129" s="16" t="s">
        <v>28</v>
      </c>
      <c r="D129" s="19">
        <v>0</v>
      </c>
    </row>
    <row r="130" spans="1:4" s="18" customFormat="1" ht="12.75">
      <c r="A130" s="4">
        <v>96</v>
      </c>
      <c r="B130" s="16" t="s">
        <v>50</v>
      </c>
      <c r="C130" s="16" t="s">
        <v>28</v>
      </c>
      <c r="D130" s="19">
        <v>0</v>
      </c>
    </row>
    <row r="131" spans="1:4" s="18" customFormat="1" ht="25.5">
      <c r="A131" s="4">
        <v>97</v>
      </c>
      <c r="B131" s="16" t="s">
        <v>51</v>
      </c>
      <c r="C131" s="16" t="s">
        <v>9</v>
      </c>
      <c r="D131" s="19">
        <v>0</v>
      </c>
    </row>
    <row r="132" spans="1:4" s="18" customFormat="1" ht="12.75">
      <c r="A132" s="21"/>
      <c r="B132" s="22"/>
      <c r="C132" s="22"/>
      <c r="D132" s="22"/>
    </row>
    <row r="133" spans="1:4" ht="15">
      <c r="A133" s="23"/>
      <c r="B133" s="24"/>
      <c r="C133" s="24"/>
      <c r="D133" s="24"/>
    </row>
    <row r="134" spans="1:4" ht="15">
      <c r="A134" s="23"/>
      <c r="B134" s="24"/>
      <c r="C134" s="24"/>
      <c r="D134" s="24"/>
    </row>
    <row r="135" spans="1:4" ht="15">
      <c r="A135" s="23"/>
      <c r="B135" s="24"/>
      <c r="C135" s="24"/>
      <c r="D135" s="24"/>
    </row>
    <row r="136" spans="1:4" ht="15">
      <c r="A136" s="23"/>
      <c r="B136" s="24"/>
      <c r="C136" s="24"/>
      <c r="D136" s="24"/>
    </row>
    <row r="137" spans="1:4" ht="15">
      <c r="A137" s="23"/>
      <c r="B137" s="24"/>
      <c r="C137" s="24"/>
      <c r="D137" s="24"/>
    </row>
    <row r="138" spans="1:4" ht="15">
      <c r="A138" s="23"/>
      <c r="B138" s="24"/>
      <c r="C138" s="24"/>
      <c r="D138" s="24"/>
    </row>
    <row r="139" spans="1:4" ht="15">
      <c r="A139" s="23"/>
      <c r="B139" s="24"/>
      <c r="C139" s="24"/>
      <c r="D139" s="24"/>
    </row>
    <row r="140" spans="1:4" ht="15">
      <c r="A140" s="23"/>
      <c r="B140" s="24"/>
      <c r="C140" s="24"/>
      <c r="D140" s="24"/>
    </row>
    <row r="141" spans="1:4" ht="15">
      <c r="A141" s="23"/>
      <c r="B141" s="24"/>
      <c r="C141" s="24"/>
      <c r="D141" s="24"/>
    </row>
    <row r="142" spans="1:4" ht="15">
      <c r="A142" s="23"/>
      <c r="B142" s="24"/>
      <c r="C142" s="24"/>
      <c r="D142" s="24"/>
    </row>
    <row r="143" spans="1:4" ht="15">
      <c r="A143" s="23"/>
      <c r="B143" s="24"/>
      <c r="C143" s="24"/>
      <c r="D143" s="24"/>
    </row>
    <row r="144" spans="1:4" ht="15">
      <c r="A144" s="23"/>
      <c r="B144" s="24"/>
      <c r="C144" s="24"/>
      <c r="D144" s="24"/>
    </row>
    <row r="145" spans="1:4" ht="15">
      <c r="A145" s="23"/>
      <c r="B145" s="24"/>
      <c r="C145" s="24"/>
      <c r="D145" s="24"/>
    </row>
    <row r="146" spans="1:4" ht="15">
      <c r="A146" s="23"/>
      <c r="B146" s="24"/>
      <c r="C146" s="24"/>
      <c r="D146" s="24"/>
    </row>
    <row r="147" spans="1:4" ht="15">
      <c r="A147" s="23"/>
      <c r="B147" s="24"/>
      <c r="C147" s="24"/>
      <c r="D147" s="24"/>
    </row>
    <row r="148" spans="1:4" ht="15">
      <c r="A148" s="23"/>
      <c r="B148" s="24"/>
      <c r="C148" s="24"/>
      <c r="D148" s="24"/>
    </row>
    <row r="149" spans="1:4" ht="15">
      <c r="A149" s="23"/>
      <c r="B149" s="24"/>
      <c r="C149" s="24"/>
      <c r="D149" s="24"/>
    </row>
    <row r="150" spans="1:4" ht="15">
      <c r="A150" s="23"/>
      <c r="B150" s="24"/>
      <c r="C150" s="24"/>
      <c r="D150" s="24"/>
    </row>
    <row r="151" spans="1:4" ht="15">
      <c r="A151" s="23"/>
      <c r="B151" s="24"/>
      <c r="C151" s="24"/>
      <c r="D151" s="24"/>
    </row>
    <row r="152" spans="1:4" ht="15">
      <c r="A152" s="23"/>
      <c r="B152" s="24"/>
      <c r="C152" s="24"/>
      <c r="D152" s="24"/>
    </row>
    <row r="153" spans="1:4" ht="15">
      <c r="A153" s="23"/>
      <c r="B153" s="24"/>
      <c r="C153" s="24"/>
      <c r="D153" s="24"/>
    </row>
    <row r="154" spans="1:4" ht="15">
      <c r="A154" s="23"/>
      <c r="B154" s="24"/>
      <c r="C154" s="24"/>
      <c r="D154" s="24"/>
    </row>
    <row r="155" spans="1:4" ht="15">
      <c r="A155" s="23"/>
      <c r="B155" s="24"/>
      <c r="C155" s="24"/>
      <c r="D155" s="24"/>
    </row>
    <row r="156" spans="1:4" ht="15">
      <c r="A156" s="23"/>
      <c r="B156" s="24"/>
      <c r="C156" s="24"/>
      <c r="D156" s="24"/>
    </row>
    <row r="157" spans="1:4" ht="15">
      <c r="A157" s="23"/>
      <c r="B157" s="24"/>
      <c r="C157" s="24"/>
      <c r="D157" s="24"/>
    </row>
    <row r="158" spans="1:4" ht="15">
      <c r="A158" s="23"/>
      <c r="B158" s="24"/>
      <c r="C158" s="24"/>
      <c r="D158" s="24"/>
    </row>
    <row r="159" spans="1:4" ht="15">
      <c r="A159" s="23"/>
      <c r="B159" s="24"/>
      <c r="C159" s="24"/>
      <c r="D159" s="24"/>
    </row>
  </sheetData>
  <sheetProtection/>
  <mergeCells count="8">
    <mergeCell ref="A123:D123"/>
    <mergeCell ref="A128:D128"/>
    <mergeCell ref="A1:D1"/>
    <mergeCell ref="A7:D7"/>
    <mergeCell ref="A25:D25"/>
    <mergeCell ref="A60:D60"/>
    <mergeCell ref="A65:D65"/>
    <mergeCell ref="A72:D72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29">
      <selection activeCell="D34" sqref="D34"/>
    </sheetView>
  </sheetViews>
  <sheetFormatPr defaultColWidth="9.140625" defaultRowHeight="15"/>
  <cols>
    <col min="1" max="1" width="6.28125" style="25" customWidth="1"/>
    <col min="2" max="2" width="51.42187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7.5" customHeight="1">
      <c r="A1" s="39" t="s">
        <v>100</v>
      </c>
      <c r="B1" s="39"/>
      <c r="C1" s="39"/>
      <c r="D1" s="39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2.75">
      <c r="A4" s="4">
        <v>1</v>
      </c>
      <c r="B4" s="5" t="s">
        <v>4</v>
      </c>
      <c r="C4" s="4" t="s">
        <v>57</v>
      </c>
      <c r="D4" s="6">
        <v>42736</v>
      </c>
    </row>
    <row r="5" spans="1:4" s="7" customFormat="1" ht="12.75">
      <c r="A5" s="4">
        <v>2</v>
      </c>
      <c r="B5" s="5" t="s">
        <v>5</v>
      </c>
      <c r="C5" s="4" t="s">
        <v>57</v>
      </c>
      <c r="D5" s="6">
        <v>42370</v>
      </c>
    </row>
    <row r="6" spans="1:4" s="7" customFormat="1" ht="12.75">
      <c r="A6" s="4">
        <v>3</v>
      </c>
      <c r="B6" s="5" t="s">
        <v>6</v>
      </c>
      <c r="C6" s="4" t="s">
        <v>57</v>
      </c>
      <c r="D6" s="6">
        <v>42735</v>
      </c>
    </row>
    <row r="7" spans="1:4" s="7" customFormat="1" ht="27.75" customHeight="1">
      <c r="A7" s="36" t="s">
        <v>7</v>
      </c>
      <c r="B7" s="37"/>
      <c r="C7" s="37"/>
      <c r="D7" s="38"/>
    </row>
    <row r="8" spans="1:4" s="7" customFormat="1" ht="12.75">
      <c r="A8" s="4">
        <v>4</v>
      </c>
      <c r="B8" s="5" t="s">
        <v>8</v>
      </c>
      <c r="C8" s="5" t="s">
        <v>9</v>
      </c>
      <c r="D8" s="8">
        <f>D10-D9</f>
        <v>232569.49000000002</v>
      </c>
    </row>
    <row r="9" spans="1:4" s="7" customFormat="1" ht="12.75">
      <c r="A9" s="4">
        <v>5</v>
      </c>
      <c r="B9" s="5" t="s">
        <v>10</v>
      </c>
      <c r="C9" s="5" t="s">
        <v>9</v>
      </c>
      <c r="D9" s="9">
        <f>317.32+2.74+443.33+6.87+1396.36+12.04+77.42+369.95+29.25</f>
        <v>2655.2799999999997</v>
      </c>
    </row>
    <row r="10" spans="1:4" s="7" customFormat="1" ht="12.75">
      <c r="A10" s="4">
        <v>6</v>
      </c>
      <c r="B10" s="5" t="s">
        <v>11</v>
      </c>
      <c r="C10" s="5" t="s">
        <v>9</v>
      </c>
      <c r="D10" s="9">
        <f>626.54+5.39+7107.89+80.07+13.15+168832.04+1438.42+9133.28+44095.22+3892.77</f>
        <v>235224.77000000002</v>
      </c>
    </row>
    <row r="11" spans="1:4" s="7" customFormat="1" ht="25.5">
      <c r="A11" s="4">
        <v>7</v>
      </c>
      <c r="B11" s="5" t="s">
        <v>12</v>
      </c>
      <c r="C11" s="5"/>
      <c r="D11" s="8">
        <f>315.96+2.73+8000+80+6.85+40339.36+1329165.31+10673.21+64080.81+275183.85+11997.78+26307.68+150035</f>
        <v>1916188.54</v>
      </c>
    </row>
    <row r="12" spans="1:4" s="7" customFormat="1" ht="12.75">
      <c r="A12" s="4">
        <v>8</v>
      </c>
      <c r="B12" s="5" t="s">
        <v>13</v>
      </c>
      <c r="C12" s="5" t="s">
        <v>9</v>
      </c>
      <c r="D12" s="8">
        <f>D11-D14</f>
        <v>1703583.54</v>
      </c>
    </row>
    <row r="13" spans="1:4" s="7" customFormat="1" ht="12.75">
      <c r="A13" s="4">
        <v>9</v>
      </c>
      <c r="B13" s="5" t="s">
        <v>14</v>
      </c>
      <c r="C13" s="5" t="s">
        <v>9</v>
      </c>
      <c r="D13" s="8">
        <v>0</v>
      </c>
    </row>
    <row r="14" spans="1:4" s="7" customFormat="1" ht="12.75">
      <c r="A14" s="4">
        <v>10</v>
      </c>
      <c r="B14" s="5" t="s">
        <v>15</v>
      </c>
      <c r="C14" s="5" t="s">
        <v>9</v>
      </c>
      <c r="D14" s="8">
        <v>212605</v>
      </c>
    </row>
    <row r="15" spans="1:4" s="7" customFormat="1" ht="12.75">
      <c r="A15" s="4">
        <v>11</v>
      </c>
      <c r="B15" s="5" t="s">
        <v>16</v>
      </c>
      <c r="C15" s="5" t="s">
        <v>9</v>
      </c>
      <c r="D15" s="8">
        <f>SUM(D16:D20)</f>
        <v>1728797.3699999996</v>
      </c>
    </row>
    <row r="16" spans="1:4" s="7" customFormat="1" ht="12.75">
      <c r="A16" s="4">
        <v>12</v>
      </c>
      <c r="B16" s="5" t="s">
        <v>17</v>
      </c>
      <c r="C16" s="5" t="s">
        <v>9</v>
      </c>
      <c r="D16" s="8">
        <f>625.18+5.38+13163.68+160.07+13.13+33795.7+1290204.28+10511.95+63573.6+278197.91+7950.88+25568.9</f>
        <v>1723770.6599999997</v>
      </c>
    </row>
    <row r="17" spans="1:4" s="7" customFormat="1" ht="12.75">
      <c r="A17" s="4">
        <v>13</v>
      </c>
      <c r="B17" s="5" t="s">
        <v>18</v>
      </c>
      <c r="C17" s="5" t="s">
        <v>9</v>
      </c>
      <c r="D17" s="8">
        <v>0</v>
      </c>
    </row>
    <row r="18" spans="1:4" s="7" customFormat="1" ht="12.75">
      <c r="A18" s="4">
        <v>14</v>
      </c>
      <c r="B18" s="5" t="s">
        <v>19</v>
      </c>
      <c r="C18" s="5" t="s">
        <v>9</v>
      </c>
      <c r="D18" s="8">
        <v>0</v>
      </c>
    </row>
    <row r="19" spans="1:4" s="7" customFormat="1" ht="12.75">
      <c r="A19" s="4">
        <v>15</v>
      </c>
      <c r="B19" s="5" t="s">
        <v>20</v>
      </c>
      <c r="C19" s="5" t="s">
        <v>9</v>
      </c>
      <c r="D19" s="8">
        <v>5026.71</v>
      </c>
    </row>
    <row r="20" spans="1:4" s="7" customFormat="1" ht="12.75">
      <c r="A20" s="4">
        <v>16</v>
      </c>
      <c r="B20" s="5" t="s">
        <v>21</v>
      </c>
      <c r="C20" s="5" t="s">
        <v>9</v>
      </c>
      <c r="D20" s="8">
        <v>0</v>
      </c>
    </row>
    <row r="21" spans="1:4" s="7" customFormat="1" ht="12.75">
      <c r="A21" s="4">
        <v>17</v>
      </c>
      <c r="B21" s="5" t="s">
        <v>22</v>
      </c>
      <c r="C21" s="5" t="s">
        <v>9</v>
      </c>
      <c r="D21" s="8">
        <f>D8+D15</f>
        <v>1961366.8599999996</v>
      </c>
    </row>
    <row r="22" spans="1:4" s="7" customFormat="1" ht="12.75">
      <c r="A22" s="4">
        <v>18</v>
      </c>
      <c r="B22" s="5" t="s">
        <v>23</v>
      </c>
      <c r="C22" s="5" t="s">
        <v>9</v>
      </c>
      <c r="D22" s="8">
        <f>D24-D23</f>
        <v>274952.36999999994</v>
      </c>
    </row>
    <row r="23" spans="1:4" s="7" customFormat="1" ht="12.75">
      <c r="A23" s="4">
        <v>19</v>
      </c>
      <c r="B23" s="5" t="s">
        <v>10</v>
      </c>
      <c r="C23" s="5" t="s">
        <v>9</v>
      </c>
      <c r="D23" s="9">
        <f>235.03+4483.13+35.07+210.26+876.09+146.89+87.61</f>
        <v>6074.08</v>
      </c>
    </row>
    <row r="24" spans="1:4" s="7" customFormat="1" ht="12.75">
      <c r="A24" s="4">
        <v>20</v>
      </c>
      <c r="B24" s="5" t="s">
        <v>11</v>
      </c>
      <c r="C24" s="5" t="s">
        <v>9</v>
      </c>
      <c r="D24" s="9">
        <f>1500.88+6778.69+210879.84+1622.71+9773.33+41587.3+4193.79+4689.91</f>
        <v>281026.44999999995</v>
      </c>
    </row>
    <row r="25" spans="1:4" s="7" customFormat="1" ht="26.25" customHeight="1">
      <c r="A25" s="36" t="s">
        <v>24</v>
      </c>
      <c r="B25" s="37"/>
      <c r="C25" s="37"/>
      <c r="D25" s="38"/>
    </row>
    <row r="26" spans="1:6" s="7" customFormat="1" ht="31.5" customHeight="1">
      <c r="A26" s="4">
        <v>21</v>
      </c>
      <c r="B26" s="5" t="s">
        <v>62</v>
      </c>
      <c r="C26" s="5" t="s">
        <v>9</v>
      </c>
      <c r="D26" s="8">
        <v>150201</v>
      </c>
      <c r="F26" s="14"/>
    </row>
    <row r="27" spans="1:4" s="7" customFormat="1" ht="19.5" customHeight="1">
      <c r="A27" s="4"/>
      <c r="B27" s="5" t="s">
        <v>63</v>
      </c>
      <c r="C27" s="5" t="s">
        <v>65</v>
      </c>
      <c r="D27" s="34">
        <f>D26/12/7115.3</f>
        <v>1.75913173021517</v>
      </c>
    </row>
    <row r="28" spans="1:4" s="7" customFormat="1" ht="14.25" customHeight="1">
      <c r="A28" s="4"/>
      <c r="B28" s="5" t="s">
        <v>25</v>
      </c>
      <c r="C28" s="5"/>
      <c r="D28" s="4" t="s">
        <v>64</v>
      </c>
    </row>
    <row r="29" spans="1:4" s="7" customFormat="1" ht="26.25" customHeight="1">
      <c r="A29" s="4">
        <v>22</v>
      </c>
      <c r="B29" s="5" t="s">
        <v>66</v>
      </c>
      <c r="C29" s="5" t="s">
        <v>9</v>
      </c>
      <c r="D29" s="8">
        <v>284077</v>
      </c>
    </row>
    <row r="30" spans="1:4" s="7" customFormat="1" ht="14.25" customHeight="1">
      <c r="A30" s="4"/>
      <c r="B30" s="10" t="s">
        <v>67</v>
      </c>
      <c r="C30" s="5" t="s">
        <v>65</v>
      </c>
      <c r="D30" s="11">
        <f>D29/12/7115.3</f>
        <v>3.327067493054872</v>
      </c>
    </row>
    <row r="31" spans="1:4" s="7" customFormat="1" ht="14.25" customHeight="1">
      <c r="A31" s="12"/>
      <c r="B31" s="5" t="s">
        <v>25</v>
      </c>
      <c r="C31" s="5"/>
      <c r="D31" s="4" t="s">
        <v>68</v>
      </c>
    </row>
    <row r="32" spans="1:4" s="7" customFormat="1" ht="26.25" customHeight="1">
      <c r="A32" s="4">
        <v>23</v>
      </c>
      <c r="B32" s="5" t="s">
        <v>69</v>
      </c>
      <c r="C32" s="5" t="s">
        <v>9</v>
      </c>
      <c r="D32" s="8">
        <v>10512</v>
      </c>
    </row>
    <row r="33" spans="1:4" s="7" customFormat="1" ht="14.25" customHeight="1">
      <c r="A33" s="4"/>
      <c r="B33" s="10" t="s">
        <v>70</v>
      </c>
      <c r="C33" s="5" t="s">
        <v>65</v>
      </c>
      <c r="D33" s="11">
        <v>0.14</v>
      </c>
    </row>
    <row r="34" spans="1:4" s="7" customFormat="1" ht="14.25" customHeight="1">
      <c r="A34" s="12"/>
      <c r="B34" s="5" t="s">
        <v>25</v>
      </c>
      <c r="C34" s="5"/>
      <c r="D34" s="4" t="s">
        <v>71</v>
      </c>
    </row>
    <row r="35" spans="1:4" s="7" customFormat="1" ht="43.5" customHeight="1">
      <c r="A35" s="4">
        <v>24</v>
      </c>
      <c r="B35" s="5" t="s">
        <v>90</v>
      </c>
      <c r="C35" s="5" t="s">
        <v>9</v>
      </c>
      <c r="D35" s="8">
        <f>348938+27296</f>
        <v>376234</v>
      </c>
    </row>
    <row r="36" spans="1:4" s="7" customFormat="1" ht="14.25" customHeight="1">
      <c r="A36" s="4"/>
      <c r="B36" s="10" t="s">
        <v>72</v>
      </c>
      <c r="C36" s="5" t="s">
        <v>65</v>
      </c>
      <c r="D36" s="11">
        <f>348938/12/7115.3</f>
        <v>4.0867098599731095</v>
      </c>
    </row>
    <row r="37" spans="1:4" s="7" customFormat="1" ht="14.25" customHeight="1">
      <c r="A37" s="12"/>
      <c r="B37" s="5" t="s">
        <v>25</v>
      </c>
      <c r="C37" s="5"/>
      <c r="D37" s="4" t="s">
        <v>73</v>
      </c>
    </row>
    <row r="38" spans="1:4" s="7" customFormat="1" ht="14.25" customHeight="1">
      <c r="A38" s="4"/>
      <c r="B38" s="10" t="s">
        <v>74</v>
      </c>
      <c r="C38" s="5" t="s">
        <v>65</v>
      </c>
      <c r="D38" s="11">
        <f>27296/12/7115.3</f>
        <v>0.3196866845623749</v>
      </c>
    </row>
    <row r="39" spans="1:4" s="7" customFormat="1" ht="14.25" customHeight="1">
      <c r="A39" s="12"/>
      <c r="B39" s="5" t="s">
        <v>25</v>
      </c>
      <c r="C39" s="5"/>
      <c r="D39" s="4" t="s">
        <v>73</v>
      </c>
    </row>
    <row r="40" spans="1:4" s="7" customFormat="1" ht="40.5" customHeight="1">
      <c r="A40" s="4">
        <v>25</v>
      </c>
      <c r="B40" s="5" t="s">
        <v>75</v>
      </c>
      <c r="C40" s="5" t="s">
        <v>9</v>
      </c>
      <c r="D40" s="8">
        <f>104670+21720</f>
        <v>126390</v>
      </c>
    </row>
    <row r="41" spans="1:4" s="7" customFormat="1" ht="27" customHeight="1">
      <c r="A41" s="4"/>
      <c r="B41" s="10" t="s">
        <v>76</v>
      </c>
      <c r="C41" s="5" t="s">
        <v>65</v>
      </c>
      <c r="D41" s="11">
        <f>21720/12/7115.3</f>
        <v>0.2543814034545276</v>
      </c>
    </row>
    <row r="42" spans="1:4" s="7" customFormat="1" ht="14.25" customHeight="1">
      <c r="A42" s="12"/>
      <c r="B42" s="5" t="s">
        <v>25</v>
      </c>
      <c r="C42" s="5"/>
      <c r="D42" s="4" t="s">
        <v>73</v>
      </c>
    </row>
    <row r="43" spans="1:4" s="7" customFormat="1" ht="27" customHeight="1">
      <c r="A43" s="4"/>
      <c r="B43" s="10" t="s">
        <v>92</v>
      </c>
      <c r="C43" s="5" t="s">
        <v>65</v>
      </c>
      <c r="D43" s="11">
        <f>104670/12/7115.3</f>
        <v>1.225879442890672</v>
      </c>
    </row>
    <row r="44" spans="1:4" s="7" customFormat="1" ht="14.25" customHeight="1">
      <c r="A44" s="12"/>
      <c r="B44" s="5" t="s">
        <v>25</v>
      </c>
      <c r="C44" s="5"/>
      <c r="D44" s="4" t="s">
        <v>73</v>
      </c>
    </row>
    <row r="45" spans="1:4" s="7" customFormat="1" ht="54" customHeight="1">
      <c r="A45" s="4">
        <v>26</v>
      </c>
      <c r="B45" s="5" t="s">
        <v>77</v>
      </c>
      <c r="C45" s="5" t="s">
        <v>9</v>
      </c>
      <c r="D45" s="8">
        <v>262937</v>
      </c>
    </row>
    <row r="46" spans="1:4" s="7" customFormat="1" ht="14.25" customHeight="1">
      <c r="A46" s="4"/>
      <c r="B46" s="10" t="s">
        <v>78</v>
      </c>
      <c r="C46" s="5" t="s">
        <v>65</v>
      </c>
      <c r="D46" s="11">
        <f>D45/12/7115.3</f>
        <v>3.0794789631732558</v>
      </c>
    </row>
    <row r="47" spans="1:4" s="7" customFormat="1" ht="14.25" customHeight="1">
      <c r="A47" s="12"/>
      <c r="B47" s="5" t="s">
        <v>25</v>
      </c>
      <c r="C47" s="5"/>
      <c r="D47" s="4" t="s">
        <v>68</v>
      </c>
    </row>
    <row r="48" spans="1:4" s="7" customFormat="1" ht="16.5" customHeight="1">
      <c r="A48" s="4">
        <v>27</v>
      </c>
      <c r="B48" s="5" t="s">
        <v>79</v>
      </c>
      <c r="C48" s="5" t="s">
        <v>9</v>
      </c>
      <c r="D48" s="8">
        <v>64501</v>
      </c>
    </row>
    <row r="49" spans="1:4" s="7" customFormat="1" ht="14.25" customHeight="1">
      <c r="A49" s="4"/>
      <c r="B49" s="10" t="s">
        <v>80</v>
      </c>
      <c r="C49" s="5" t="s">
        <v>65</v>
      </c>
      <c r="D49" s="11">
        <f>D48/12/7115.3</f>
        <v>0.7554261005626373</v>
      </c>
    </row>
    <row r="50" spans="1:4" s="7" customFormat="1" ht="14.25" customHeight="1">
      <c r="A50" s="12"/>
      <c r="B50" s="5" t="s">
        <v>25</v>
      </c>
      <c r="C50" s="5"/>
      <c r="D50" s="4" t="s">
        <v>81</v>
      </c>
    </row>
    <row r="51" spans="1:4" s="7" customFormat="1" ht="29.25" customHeight="1">
      <c r="A51" s="4">
        <v>28</v>
      </c>
      <c r="B51" s="5" t="s">
        <v>82</v>
      </c>
      <c r="C51" s="5" t="s">
        <v>9</v>
      </c>
      <c r="D51" s="8">
        <v>346913</v>
      </c>
    </row>
    <row r="52" spans="1:4" s="7" customFormat="1" ht="14.25" customHeight="1">
      <c r="A52" s="4"/>
      <c r="B52" s="10" t="s">
        <v>83</v>
      </c>
      <c r="C52" s="5" t="s">
        <v>65</v>
      </c>
      <c r="D52" s="11">
        <f>D51/12/7115.3</f>
        <v>4.06299336172286</v>
      </c>
    </row>
    <row r="53" spans="1:4" s="7" customFormat="1" ht="14.25" customHeight="1">
      <c r="A53" s="12"/>
      <c r="B53" s="5" t="s">
        <v>25</v>
      </c>
      <c r="C53" s="5"/>
      <c r="D53" s="4" t="s">
        <v>68</v>
      </c>
    </row>
    <row r="54" spans="1:4" s="7" customFormat="1" ht="29.25" customHeight="1">
      <c r="A54" s="4">
        <v>29</v>
      </c>
      <c r="B54" s="5" t="s">
        <v>84</v>
      </c>
      <c r="C54" s="5" t="s">
        <v>9</v>
      </c>
      <c r="D54" s="8">
        <v>199622</v>
      </c>
    </row>
    <row r="55" spans="1:4" s="7" customFormat="1" ht="28.5" customHeight="1">
      <c r="A55" s="4"/>
      <c r="B55" s="10" t="s">
        <v>85</v>
      </c>
      <c r="C55" s="5" t="s">
        <v>65</v>
      </c>
      <c r="D55" s="11">
        <f>D54/12/7115.3</f>
        <v>2.337943117882123</v>
      </c>
    </row>
    <row r="56" spans="1:4" s="7" customFormat="1" ht="14.25" customHeight="1">
      <c r="A56" s="12"/>
      <c r="B56" s="5" t="s">
        <v>25</v>
      </c>
      <c r="C56" s="5"/>
      <c r="D56" s="4" t="s">
        <v>73</v>
      </c>
    </row>
    <row r="57" spans="1:4" s="7" customFormat="1" ht="29.25" customHeight="1">
      <c r="A57" s="4">
        <v>30</v>
      </c>
      <c r="B57" s="5" t="s">
        <v>86</v>
      </c>
      <c r="C57" s="5" t="s">
        <v>9</v>
      </c>
      <c r="D57" s="8">
        <v>46016</v>
      </c>
    </row>
    <row r="58" spans="1:4" s="7" customFormat="1" ht="25.5" customHeight="1">
      <c r="A58" s="4"/>
      <c r="B58" s="10" t="s">
        <v>87</v>
      </c>
      <c r="C58" s="5" t="s">
        <v>65</v>
      </c>
      <c r="D58" s="11">
        <f>D57/12/7115.3</f>
        <v>0.53893253505357</v>
      </c>
    </row>
    <row r="59" spans="1:4" s="7" customFormat="1" ht="29.25" customHeight="1">
      <c r="A59" s="12"/>
      <c r="B59" s="5" t="s">
        <v>25</v>
      </c>
      <c r="C59" s="5"/>
      <c r="D59" s="4" t="s">
        <v>88</v>
      </c>
    </row>
    <row r="60" spans="1:4" s="7" customFormat="1" ht="16.5" customHeight="1">
      <c r="A60" s="36" t="s">
        <v>26</v>
      </c>
      <c r="B60" s="37"/>
      <c r="C60" s="37"/>
      <c r="D60" s="38"/>
    </row>
    <row r="61" spans="1:4" s="7" customFormat="1" ht="14.25" customHeight="1">
      <c r="A61" s="4">
        <f>A57+1</f>
        <v>31</v>
      </c>
      <c r="B61" s="5" t="s">
        <v>27</v>
      </c>
      <c r="C61" s="5" t="s">
        <v>28</v>
      </c>
      <c r="D61" s="4">
        <v>0</v>
      </c>
    </row>
    <row r="62" spans="1:4" s="7" customFormat="1" ht="14.25" customHeight="1">
      <c r="A62" s="4">
        <f>A61+1</f>
        <v>32</v>
      </c>
      <c r="B62" s="5" t="s">
        <v>29</v>
      </c>
      <c r="C62" s="5" t="s">
        <v>30</v>
      </c>
      <c r="D62" s="4">
        <v>0</v>
      </c>
    </row>
    <row r="63" spans="1:4" s="7" customFormat="1" ht="14.25" customHeight="1">
      <c r="A63" s="4">
        <f>A62+1</f>
        <v>33</v>
      </c>
      <c r="B63" s="5" t="s">
        <v>31</v>
      </c>
      <c r="C63" s="5" t="s">
        <v>28</v>
      </c>
      <c r="D63" s="4">
        <v>0</v>
      </c>
    </row>
    <row r="64" spans="1:4" s="7" customFormat="1" ht="14.25" customHeight="1">
      <c r="A64" s="4">
        <f>A63+1</f>
        <v>34</v>
      </c>
      <c r="B64" s="5" t="s">
        <v>32</v>
      </c>
      <c r="C64" s="5" t="s">
        <v>9</v>
      </c>
      <c r="D64" s="4">
        <v>0</v>
      </c>
    </row>
    <row r="65" spans="1:4" s="7" customFormat="1" ht="17.25" customHeight="1">
      <c r="A65" s="36" t="s">
        <v>33</v>
      </c>
      <c r="B65" s="37"/>
      <c r="C65" s="37"/>
      <c r="D65" s="38"/>
    </row>
    <row r="66" spans="1:4" s="7" customFormat="1" ht="25.5">
      <c r="A66" s="4">
        <f>A64+1</f>
        <v>35</v>
      </c>
      <c r="B66" s="5" t="s">
        <v>34</v>
      </c>
      <c r="C66" s="5" t="s">
        <v>9</v>
      </c>
      <c r="D66" s="8">
        <f>D68-D67</f>
        <v>233948.7</v>
      </c>
    </row>
    <row r="67" spans="1:4" s="7" customFormat="1" ht="15" customHeight="1">
      <c r="A67" s="4">
        <f>A66+1</f>
        <v>36</v>
      </c>
      <c r="B67" s="5" t="s">
        <v>10</v>
      </c>
      <c r="C67" s="5" t="s">
        <v>9</v>
      </c>
      <c r="D67" s="8">
        <f>3192.19+1195.26+905.98+1662.49+1643.38</f>
        <v>8599.3</v>
      </c>
    </row>
    <row r="68" spans="1:4" s="7" customFormat="1" ht="15" customHeight="1">
      <c r="A68" s="4">
        <f>A67+1</f>
        <v>37</v>
      </c>
      <c r="B68" s="5" t="s">
        <v>11</v>
      </c>
      <c r="C68" s="5" t="s">
        <v>9</v>
      </c>
      <c r="D68" s="8">
        <f>129338.05+22572.33+19086.14+24357.34+50364.06-3169.92</f>
        <v>242548</v>
      </c>
    </row>
    <row r="69" spans="1:4" s="7" customFormat="1" ht="25.5">
      <c r="A69" s="4">
        <f>A68+1</f>
        <v>38</v>
      </c>
      <c r="B69" s="5" t="s">
        <v>35</v>
      </c>
      <c r="C69" s="5" t="s">
        <v>9</v>
      </c>
      <c r="D69" s="8">
        <f>D71-D70</f>
        <v>240901.1</v>
      </c>
    </row>
    <row r="70" spans="1:4" s="7" customFormat="1" ht="13.5" customHeight="1">
      <c r="A70" s="4">
        <f>A69+1</f>
        <v>39</v>
      </c>
      <c r="B70" s="5" t="s">
        <v>10</v>
      </c>
      <c r="C70" s="5" t="s">
        <v>9</v>
      </c>
      <c r="D70" s="8">
        <f>3219.89+4037.4+4075.27+7454.41+5634.25</f>
        <v>24421.22</v>
      </c>
    </row>
    <row r="71" spans="1:5" s="7" customFormat="1" ht="13.5" customHeight="1">
      <c r="A71" s="4">
        <f>A70+1</f>
        <v>40</v>
      </c>
      <c r="B71" s="5" t="s">
        <v>11</v>
      </c>
      <c r="C71" s="5" t="s">
        <v>9</v>
      </c>
      <c r="D71" s="8">
        <f>145380.08+24516.24+19191.61+18999.22+57235.17</f>
        <v>265322.32</v>
      </c>
      <c r="E71" s="14"/>
    </row>
    <row r="72" spans="1:4" s="7" customFormat="1" ht="18" customHeight="1">
      <c r="A72" s="36" t="s">
        <v>52</v>
      </c>
      <c r="B72" s="37"/>
      <c r="C72" s="37"/>
      <c r="D72" s="38"/>
    </row>
    <row r="73" spans="1:4" s="7" customFormat="1" ht="12.75">
      <c r="A73" s="4">
        <f>A71+1</f>
        <v>41</v>
      </c>
      <c r="B73" s="5" t="s">
        <v>36</v>
      </c>
      <c r="C73" s="5"/>
      <c r="D73" s="15" t="s">
        <v>53</v>
      </c>
    </row>
    <row r="74" spans="1:4" s="7" customFormat="1" ht="12.75">
      <c r="A74" s="4">
        <f>A73+1</f>
        <v>42</v>
      </c>
      <c r="B74" s="5" t="s">
        <v>37</v>
      </c>
      <c r="C74" s="5"/>
      <c r="D74" s="4" t="s">
        <v>59</v>
      </c>
    </row>
    <row r="75" spans="1:4" s="7" customFormat="1" ht="12.75">
      <c r="A75" s="4">
        <f aca="true" t="shared" si="0" ref="A75:A122">A74+1</f>
        <v>43</v>
      </c>
      <c r="B75" s="5" t="s">
        <v>38</v>
      </c>
      <c r="C75" s="5" t="s">
        <v>39</v>
      </c>
      <c r="D75" s="4">
        <f>(19.23+16.781+15.447+14.176+18.113+14.139+13.309+16.347+14.026+17.828+19.763+17.87)*1000</f>
        <v>197029.00000000003</v>
      </c>
    </row>
    <row r="76" spans="1:4" s="7" customFormat="1" ht="12.75">
      <c r="A76" s="4">
        <f t="shared" si="0"/>
        <v>44</v>
      </c>
      <c r="B76" s="5" t="s">
        <v>40</v>
      </c>
      <c r="C76" s="5" t="s">
        <v>9</v>
      </c>
      <c r="D76" s="8">
        <v>404852.68</v>
      </c>
    </row>
    <row r="77" spans="1:4" s="7" customFormat="1" ht="12.75">
      <c r="A77" s="4">
        <f t="shared" si="0"/>
        <v>45</v>
      </c>
      <c r="B77" s="5" t="s">
        <v>41</v>
      </c>
      <c r="C77" s="5" t="s">
        <v>9</v>
      </c>
      <c r="D77" s="8">
        <v>401972.44</v>
      </c>
    </row>
    <row r="78" spans="1:4" s="7" customFormat="1" ht="12.75">
      <c r="A78" s="4">
        <f t="shared" si="0"/>
        <v>46</v>
      </c>
      <c r="B78" s="5" t="s">
        <v>42</v>
      </c>
      <c r="C78" s="5" t="s">
        <v>9</v>
      </c>
      <c r="D78" s="8">
        <f>D76-D77</f>
        <v>2880.2399999999907</v>
      </c>
    </row>
    <row r="79" spans="1:4" s="18" customFormat="1" ht="12.75">
      <c r="A79" s="4">
        <f t="shared" si="0"/>
        <v>47</v>
      </c>
      <c r="B79" s="16" t="s">
        <v>43</v>
      </c>
      <c r="C79" s="16" t="s">
        <v>9</v>
      </c>
      <c r="D79" s="17">
        <f>411016.4+607.49+979.32</f>
        <v>412603.21</v>
      </c>
    </row>
    <row r="80" spans="1:4" s="18" customFormat="1" ht="12.75">
      <c r="A80" s="4">
        <f t="shared" si="0"/>
        <v>48</v>
      </c>
      <c r="B80" s="16" t="s">
        <v>44</v>
      </c>
      <c r="C80" s="16" t="s">
        <v>9</v>
      </c>
      <c r="D80" s="17">
        <v>415406</v>
      </c>
    </row>
    <row r="81" spans="1:4" s="18" customFormat="1" ht="12.75">
      <c r="A81" s="4">
        <f t="shared" si="0"/>
        <v>49</v>
      </c>
      <c r="B81" s="16" t="s">
        <v>45</v>
      </c>
      <c r="C81" s="16" t="s">
        <v>9</v>
      </c>
      <c r="D81" s="17">
        <f>D80-D79</f>
        <v>2802.789999999979</v>
      </c>
    </row>
    <row r="82" spans="1:4" s="18" customFormat="1" ht="25.5">
      <c r="A82" s="4">
        <f t="shared" si="0"/>
        <v>50</v>
      </c>
      <c r="B82" s="16" t="s">
        <v>46</v>
      </c>
      <c r="C82" s="16" t="s">
        <v>9</v>
      </c>
      <c r="D82" s="19">
        <v>0</v>
      </c>
    </row>
    <row r="83" spans="1:4" s="7" customFormat="1" ht="24">
      <c r="A83" s="4">
        <f t="shared" si="0"/>
        <v>51</v>
      </c>
      <c r="B83" s="5" t="s">
        <v>36</v>
      </c>
      <c r="C83" s="5"/>
      <c r="D83" s="15" t="s">
        <v>54</v>
      </c>
    </row>
    <row r="84" spans="1:4" s="7" customFormat="1" ht="12.75">
      <c r="A84" s="4">
        <f t="shared" si="0"/>
        <v>52</v>
      </c>
      <c r="B84" s="5" t="s">
        <v>37</v>
      </c>
      <c r="C84" s="5"/>
      <c r="D84" s="4" t="s">
        <v>60</v>
      </c>
    </row>
    <row r="85" spans="1:4" s="7" customFormat="1" ht="12.75">
      <c r="A85" s="4">
        <f t="shared" si="0"/>
        <v>53</v>
      </c>
      <c r="B85" s="5" t="s">
        <v>38</v>
      </c>
      <c r="C85" s="5" t="s">
        <v>39</v>
      </c>
      <c r="D85" s="4">
        <f>63.716+817.284+54.818+807.182+40.597+858.403+105.558+761.442+63.542+793.458+35.74+597.26+25.558+966.442+42.035+702.965+40.233+709.767+42.719+904.281+34.529+998.471+34.345+920.655</f>
        <v>10421</v>
      </c>
    </row>
    <row r="86" spans="1:4" s="7" customFormat="1" ht="12.75">
      <c r="A86" s="4">
        <f t="shared" si="0"/>
        <v>54</v>
      </c>
      <c r="B86" s="5" t="s">
        <v>40</v>
      </c>
      <c r="C86" s="5" t="s">
        <v>9</v>
      </c>
      <c r="D86" s="8">
        <v>179399.33</v>
      </c>
    </row>
    <row r="87" spans="1:4" s="7" customFormat="1" ht="12.75">
      <c r="A87" s="4">
        <f t="shared" si="0"/>
        <v>55</v>
      </c>
      <c r="B87" s="5" t="s">
        <v>41</v>
      </c>
      <c r="C87" s="5" t="s">
        <v>9</v>
      </c>
      <c r="D87" s="8">
        <v>180297.56</v>
      </c>
    </row>
    <row r="88" spans="1:4" s="7" customFormat="1" ht="12.75">
      <c r="A88" s="4">
        <f t="shared" si="0"/>
        <v>56</v>
      </c>
      <c r="B88" s="5" t="s">
        <v>42</v>
      </c>
      <c r="C88" s="5" t="s">
        <v>9</v>
      </c>
      <c r="D88" s="8">
        <f>D86-D87</f>
        <v>-898.2300000000105</v>
      </c>
    </row>
    <row r="89" spans="1:4" s="18" customFormat="1" ht="12.75">
      <c r="A89" s="4">
        <f t="shared" si="0"/>
        <v>57</v>
      </c>
      <c r="B89" s="16" t="s">
        <v>43</v>
      </c>
      <c r="C89" s="16" t="s">
        <v>9</v>
      </c>
      <c r="D89" s="17">
        <v>294705.69</v>
      </c>
    </row>
    <row r="90" spans="1:4" s="18" customFormat="1" ht="12.75">
      <c r="A90" s="4">
        <f t="shared" si="0"/>
        <v>58</v>
      </c>
      <c r="B90" s="16" t="s">
        <v>44</v>
      </c>
      <c r="C90" s="16" t="s">
        <v>9</v>
      </c>
      <c r="D90" s="17">
        <v>302745</v>
      </c>
    </row>
    <row r="91" spans="1:4" s="18" customFormat="1" ht="12.75">
      <c r="A91" s="4">
        <f t="shared" si="0"/>
        <v>59</v>
      </c>
      <c r="B91" s="16" t="s">
        <v>45</v>
      </c>
      <c r="C91" s="16" t="s">
        <v>9</v>
      </c>
      <c r="D91" s="17">
        <f>D90-D89</f>
        <v>8039.309999999998</v>
      </c>
    </row>
    <row r="92" spans="1:4" s="18" customFormat="1" ht="25.5">
      <c r="A92" s="4">
        <f t="shared" si="0"/>
        <v>60</v>
      </c>
      <c r="B92" s="16" t="s">
        <v>46</v>
      </c>
      <c r="C92" s="16" t="s">
        <v>9</v>
      </c>
      <c r="D92" s="19">
        <v>0</v>
      </c>
    </row>
    <row r="93" spans="1:4" s="7" customFormat="1" ht="25.5">
      <c r="A93" s="4">
        <f t="shared" si="0"/>
        <v>61</v>
      </c>
      <c r="B93" s="5" t="s">
        <v>36</v>
      </c>
      <c r="C93" s="5"/>
      <c r="D93" s="20" t="s">
        <v>55</v>
      </c>
    </row>
    <row r="94" spans="1:4" s="7" customFormat="1" ht="12.75">
      <c r="A94" s="4">
        <f t="shared" si="0"/>
        <v>62</v>
      </c>
      <c r="B94" s="5" t="s">
        <v>37</v>
      </c>
      <c r="C94" s="5"/>
      <c r="D94" s="4" t="s">
        <v>60</v>
      </c>
    </row>
    <row r="95" spans="1:4" s="7" customFormat="1" ht="12.75">
      <c r="A95" s="4">
        <f t="shared" si="0"/>
        <v>63</v>
      </c>
      <c r="B95" s="5" t="s">
        <v>38</v>
      </c>
      <c r="C95" s="5" t="s">
        <v>39</v>
      </c>
      <c r="D95" s="8">
        <v>413</v>
      </c>
    </row>
    <row r="96" spans="1:4" s="7" customFormat="1" ht="12.75">
      <c r="A96" s="4">
        <f t="shared" si="0"/>
        <v>64</v>
      </c>
      <c r="B96" s="5" t="s">
        <v>40</v>
      </c>
      <c r="C96" s="5" t="s">
        <v>9</v>
      </c>
      <c r="D96" s="8">
        <v>146394.86</v>
      </c>
    </row>
    <row r="97" spans="1:4" s="7" customFormat="1" ht="12.75">
      <c r="A97" s="4">
        <f t="shared" si="0"/>
        <v>65</v>
      </c>
      <c r="B97" s="5" t="s">
        <v>41</v>
      </c>
      <c r="C97" s="5" t="s">
        <v>9</v>
      </c>
      <c r="D97" s="8">
        <v>157544.9</v>
      </c>
    </row>
    <row r="98" spans="1:4" s="7" customFormat="1" ht="12.75">
      <c r="A98" s="4">
        <f t="shared" si="0"/>
        <v>66</v>
      </c>
      <c r="B98" s="5" t="s">
        <v>42</v>
      </c>
      <c r="C98" s="5" t="s">
        <v>9</v>
      </c>
      <c r="D98" s="8">
        <f>D96-D97</f>
        <v>-11150.040000000008</v>
      </c>
    </row>
    <row r="99" spans="1:4" s="18" customFormat="1" ht="12.75">
      <c r="A99" s="4">
        <f t="shared" si="0"/>
        <v>67</v>
      </c>
      <c r="B99" s="16" t="s">
        <v>43</v>
      </c>
      <c r="C99" s="16" t="s">
        <v>9</v>
      </c>
      <c r="D99" s="17">
        <f>535488.83-1632</f>
        <v>533856.83</v>
      </c>
    </row>
    <row r="100" spans="1:4" s="18" customFormat="1" ht="12.75">
      <c r="A100" s="4">
        <f t="shared" si="0"/>
        <v>68</v>
      </c>
      <c r="B100" s="16" t="s">
        <v>44</v>
      </c>
      <c r="C100" s="16" t="s">
        <v>9</v>
      </c>
      <c r="D100" s="17">
        <v>507771</v>
      </c>
    </row>
    <row r="101" spans="1:4" s="18" customFormat="1" ht="12.75">
      <c r="A101" s="4">
        <f t="shared" si="0"/>
        <v>69</v>
      </c>
      <c r="B101" s="16" t="s">
        <v>45</v>
      </c>
      <c r="C101" s="16" t="s">
        <v>9</v>
      </c>
      <c r="D101" s="17">
        <f>D100-D99</f>
        <v>-26085.829999999958</v>
      </c>
    </row>
    <row r="102" spans="1:4" s="18" customFormat="1" ht="25.5">
      <c r="A102" s="4">
        <f t="shared" si="0"/>
        <v>70</v>
      </c>
      <c r="B102" s="16" t="s">
        <v>46</v>
      </c>
      <c r="C102" s="16" t="s">
        <v>9</v>
      </c>
      <c r="D102" s="19">
        <v>0</v>
      </c>
    </row>
    <row r="103" spans="1:4" s="7" customFormat="1" ht="24">
      <c r="A103" s="4">
        <f t="shared" si="0"/>
        <v>71</v>
      </c>
      <c r="B103" s="5" t="s">
        <v>36</v>
      </c>
      <c r="C103" s="5"/>
      <c r="D103" s="15" t="s">
        <v>58</v>
      </c>
    </row>
    <row r="104" spans="1:4" s="7" customFormat="1" ht="12.75">
      <c r="A104" s="4">
        <f t="shared" si="0"/>
        <v>72</v>
      </c>
      <c r="B104" s="5" t="s">
        <v>37</v>
      </c>
      <c r="C104" s="5"/>
      <c r="D104" s="4" t="s">
        <v>61</v>
      </c>
    </row>
    <row r="105" spans="1:4" s="7" customFormat="1" ht="12.75">
      <c r="A105" s="4">
        <f t="shared" si="0"/>
        <v>73</v>
      </c>
      <c r="B105" s="5" t="s">
        <v>38</v>
      </c>
      <c r="C105" s="5" t="s">
        <v>39</v>
      </c>
      <c r="D105" s="4">
        <v>732</v>
      </c>
    </row>
    <row r="106" spans="1:4" s="7" customFormat="1" ht="12.75">
      <c r="A106" s="4">
        <f t="shared" si="0"/>
        <v>74</v>
      </c>
      <c r="B106" s="5" t="s">
        <v>40</v>
      </c>
      <c r="C106" s="5" t="s">
        <v>9</v>
      </c>
      <c r="D106" s="8">
        <v>955413.08</v>
      </c>
    </row>
    <row r="107" spans="1:4" s="7" customFormat="1" ht="12.75">
      <c r="A107" s="4">
        <f t="shared" si="0"/>
        <v>75</v>
      </c>
      <c r="B107" s="5" t="s">
        <v>41</v>
      </c>
      <c r="C107" s="5" t="s">
        <v>9</v>
      </c>
      <c r="D107" s="8">
        <v>939398.75</v>
      </c>
    </row>
    <row r="108" spans="1:4" s="7" customFormat="1" ht="12.75">
      <c r="A108" s="4">
        <f t="shared" si="0"/>
        <v>76</v>
      </c>
      <c r="B108" s="5" t="s">
        <v>42</v>
      </c>
      <c r="C108" s="5" t="s">
        <v>9</v>
      </c>
      <c r="D108" s="8">
        <f>D106-D107</f>
        <v>16014.329999999958</v>
      </c>
    </row>
    <row r="109" spans="1:4" s="18" customFormat="1" ht="12.75">
      <c r="A109" s="4">
        <f t="shared" si="0"/>
        <v>77</v>
      </c>
      <c r="B109" s="16" t="s">
        <v>43</v>
      </c>
      <c r="C109" s="16" t="s">
        <v>9</v>
      </c>
      <c r="D109" s="17">
        <f>589858.67+14273.32</f>
        <v>604131.99</v>
      </c>
    </row>
    <row r="110" spans="1:4" s="18" customFormat="1" ht="12.75">
      <c r="A110" s="4">
        <f t="shared" si="0"/>
        <v>78</v>
      </c>
      <c r="B110" s="16" t="s">
        <v>44</v>
      </c>
      <c r="C110" s="16" t="s">
        <v>9</v>
      </c>
      <c r="D110" s="17">
        <v>574430</v>
      </c>
    </row>
    <row r="111" spans="1:4" s="18" customFormat="1" ht="12.75">
      <c r="A111" s="4">
        <f t="shared" si="0"/>
        <v>79</v>
      </c>
      <c r="B111" s="16" t="s">
        <v>45</v>
      </c>
      <c r="C111" s="16" t="s">
        <v>9</v>
      </c>
      <c r="D111" s="17">
        <f>D110-D109</f>
        <v>-29701.98999999999</v>
      </c>
    </row>
    <row r="112" spans="1:4" s="18" customFormat="1" ht="25.5">
      <c r="A112" s="4">
        <f t="shared" si="0"/>
        <v>80</v>
      </c>
      <c r="B112" s="16" t="s">
        <v>46</v>
      </c>
      <c r="C112" s="16" t="s">
        <v>9</v>
      </c>
      <c r="D112" s="19">
        <v>0</v>
      </c>
    </row>
    <row r="113" spans="1:4" s="7" customFormat="1" ht="12.75">
      <c r="A113" s="4">
        <f t="shared" si="0"/>
        <v>81</v>
      </c>
      <c r="B113" s="5" t="s">
        <v>36</v>
      </c>
      <c r="C113" s="5"/>
      <c r="D113" s="20" t="s">
        <v>56</v>
      </c>
    </row>
    <row r="114" spans="1:4" s="7" customFormat="1" ht="12.75">
      <c r="A114" s="4">
        <f t="shared" si="0"/>
        <v>82</v>
      </c>
      <c r="B114" s="5" t="s">
        <v>37</v>
      </c>
      <c r="C114" s="5"/>
      <c r="D114" s="4" t="s">
        <v>60</v>
      </c>
    </row>
    <row r="115" spans="1:4" s="7" customFormat="1" ht="12.75">
      <c r="A115" s="4">
        <f t="shared" si="0"/>
        <v>83</v>
      </c>
      <c r="B115" s="5" t="s">
        <v>38</v>
      </c>
      <c r="C115" s="5" t="s">
        <v>39</v>
      </c>
      <c r="D115" s="4">
        <f>139.463+741.537+93.774+768.226+67.958+831.042+182.085+684.915+129.637+727.363+67.399+565.601+42.868+794.377+42.035+792.12+40.233+793.755+42.719+818.318+34.529+961.279+34.345+827.287</f>
        <v>10222.865000000002</v>
      </c>
    </row>
    <row r="116" spans="1:4" s="7" customFormat="1" ht="12.75">
      <c r="A116" s="4">
        <f t="shared" si="0"/>
        <v>84</v>
      </c>
      <c r="B116" s="5" t="s">
        <v>40</v>
      </c>
      <c r="C116" s="5" t="s">
        <v>9</v>
      </c>
      <c r="D116" s="8">
        <v>141603.2</v>
      </c>
    </row>
    <row r="117" spans="1:4" s="7" customFormat="1" ht="12.75">
      <c r="A117" s="4">
        <f t="shared" si="0"/>
        <v>85</v>
      </c>
      <c r="B117" s="5" t="s">
        <v>41</v>
      </c>
      <c r="C117" s="5" t="s">
        <v>9</v>
      </c>
      <c r="D117" s="8">
        <v>144667.02</v>
      </c>
    </row>
    <row r="118" spans="1:4" s="7" customFormat="1" ht="12.75">
      <c r="A118" s="4">
        <f t="shared" si="0"/>
        <v>86</v>
      </c>
      <c r="B118" s="5" t="s">
        <v>42</v>
      </c>
      <c r="C118" s="5" t="s">
        <v>9</v>
      </c>
      <c r="D118" s="8">
        <f>D116-D117</f>
        <v>-3063.819999999978</v>
      </c>
    </row>
    <row r="119" spans="1:4" s="18" customFormat="1" ht="12.75">
      <c r="A119" s="4">
        <f t="shared" si="0"/>
        <v>87</v>
      </c>
      <c r="B119" s="16" t="s">
        <v>43</v>
      </c>
      <c r="C119" s="16" t="s">
        <v>9</v>
      </c>
      <c r="D119" s="17">
        <f>144653.15</f>
        <v>144653.15</v>
      </c>
    </row>
    <row r="120" spans="1:4" s="18" customFormat="1" ht="12.75">
      <c r="A120" s="4">
        <f t="shared" si="0"/>
        <v>88</v>
      </c>
      <c r="B120" s="16" t="s">
        <v>44</v>
      </c>
      <c r="C120" s="16" t="s">
        <v>9</v>
      </c>
      <c r="D120" s="17">
        <v>147723</v>
      </c>
    </row>
    <row r="121" spans="1:4" s="18" customFormat="1" ht="12.75">
      <c r="A121" s="4">
        <f t="shared" si="0"/>
        <v>89</v>
      </c>
      <c r="B121" s="16" t="s">
        <v>45</v>
      </c>
      <c r="C121" s="16" t="s">
        <v>9</v>
      </c>
      <c r="D121" s="17">
        <f>D120-D119</f>
        <v>3069.850000000006</v>
      </c>
    </row>
    <row r="122" spans="1:4" s="18" customFormat="1" ht="25.5">
      <c r="A122" s="4">
        <f t="shared" si="0"/>
        <v>90</v>
      </c>
      <c r="B122" s="16" t="s">
        <v>46</v>
      </c>
      <c r="C122" s="16" t="s">
        <v>9</v>
      </c>
      <c r="D122" s="19">
        <v>0</v>
      </c>
    </row>
    <row r="123" spans="1:4" s="18" customFormat="1" ht="16.5" customHeight="1">
      <c r="A123" s="36" t="s">
        <v>47</v>
      </c>
      <c r="B123" s="37"/>
      <c r="C123" s="37"/>
      <c r="D123" s="38"/>
    </row>
    <row r="124" spans="1:4" s="18" customFormat="1" ht="12.75">
      <c r="A124" s="4">
        <f>A122+1</f>
        <v>91</v>
      </c>
      <c r="B124" s="16" t="s">
        <v>27</v>
      </c>
      <c r="C124" s="16" t="s">
        <v>28</v>
      </c>
      <c r="D124" s="17">
        <v>3</v>
      </c>
    </row>
    <row r="125" spans="1:4" s="18" customFormat="1" ht="12.75">
      <c r="A125" s="4">
        <f>A124+1</f>
        <v>92</v>
      </c>
      <c r="B125" s="16" t="s">
        <v>29</v>
      </c>
      <c r="C125" s="16" t="s">
        <v>28</v>
      </c>
      <c r="D125" s="17">
        <v>3</v>
      </c>
    </row>
    <row r="126" spans="1:4" s="18" customFormat="1" ht="12.75">
      <c r="A126" s="4">
        <f>A125+1</f>
        <v>93</v>
      </c>
      <c r="B126" s="16" t="s">
        <v>31</v>
      </c>
      <c r="C126" s="16"/>
      <c r="D126" s="17">
        <v>0</v>
      </c>
    </row>
    <row r="127" spans="1:4" s="18" customFormat="1" ht="12.75">
      <c r="A127" s="4">
        <f>A126+1</f>
        <v>94</v>
      </c>
      <c r="B127" s="16" t="s">
        <v>32</v>
      </c>
      <c r="C127" s="16" t="s">
        <v>9</v>
      </c>
      <c r="D127" s="17">
        <v>24391</v>
      </c>
    </row>
    <row r="128" spans="1:4" s="18" customFormat="1" ht="16.5" customHeight="1">
      <c r="A128" s="36" t="s">
        <v>48</v>
      </c>
      <c r="B128" s="37"/>
      <c r="C128" s="37"/>
      <c r="D128" s="38"/>
    </row>
    <row r="129" spans="1:4" s="18" customFormat="1" ht="12.75">
      <c r="A129" s="4">
        <f>A127+1</f>
        <v>95</v>
      </c>
      <c r="B129" s="16" t="s">
        <v>49</v>
      </c>
      <c r="C129" s="16" t="s">
        <v>28</v>
      </c>
      <c r="D129" s="28">
        <v>0</v>
      </c>
    </row>
    <row r="130" spans="1:4" s="18" customFormat="1" ht="12.75">
      <c r="A130" s="4">
        <f>A129+1</f>
        <v>96</v>
      </c>
      <c r="B130" s="16" t="s">
        <v>50</v>
      </c>
      <c r="C130" s="16" t="s">
        <v>28</v>
      </c>
      <c r="D130" s="28">
        <v>0</v>
      </c>
    </row>
    <row r="131" spans="1:4" s="18" customFormat="1" ht="25.5">
      <c r="A131" s="4">
        <f>A130+1</f>
        <v>97</v>
      </c>
      <c r="B131" s="16" t="s">
        <v>51</v>
      </c>
      <c r="C131" s="16" t="s">
        <v>9</v>
      </c>
      <c r="D131" s="28">
        <v>0</v>
      </c>
    </row>
    <row r="132" spans="1:4" s="18" customFormat="1" ht="12.75">
      <c r="A132" s="21"/>
      <c r="B132" s="22"/>
      <c r="C132" s="22"/>
      <c r="D132" s="22"/>
    </row>
    <row r="133" spans="1:4" ht="15">
      <c r="A133" s="23"/>
      <c r="B133" s="24"/>
      <c r="C133" s="24"/>
      <c r="D133" s="24"/>
    </row>
    <row r="134" spans="1:4" ht="15">
      <c r="A134" s="23"/>
      <c r="B134" s="24"/>
      <c r="C134" s="24"/>
      <c r="D134" s="24"/>
    </row>
    <row r="135" spans="1:4" ht="15">
      <c r="A135" s="23"/>
      <c r="B135" s="24"/>
      <c r="C135" s="24"/>
      <c r="D135" s="24"/>
    </row>
    <row r="136" spans="1:4" ht="15">
      <c r="A136" s="23"/>
      <c r="B136" s="24"/>
      <c r="C136" s="24"/>
      <c r="D136" s="24"/>
    </row>
    <row r="137" spans="1:4" ht="15">
      <c r="A137" s="23"/>
      <c r="B137" s="24"/>
      <c r="C137" s="24"/>
      <c r="D137" s="24"/>
    </row>
    <row r="138" spans="1:4" ht="15">
      <c r="A138" s="23"/>
      <c r="B138" s="24"/>
      <c r="C138" s="24"/>
      <c r="D138" s="24"/>
    </row>
    <row r="139" spans="1:4" ht="15">
      <c r="A139" s="23"/>
      <c r="B139" s="24"/>
      <c r="C139" s="24"/>
      <c r="D139" s="24"/>
    </row>
    <row r="140" spans="1:4" ht="15">
      <c r="A140" s="23"/>
      <c r="B140" s="24"/>
      <c r="C140" s="24"/>
      <c r="D140" s="24"/>
    </row>
    <row r="141" spans="1:4" ht="15">
      <c r="A141" s="23"/>
      <c r="B141" s="24"/>
      <c r="C141" s="24"/>
      <c r="D141" s="24"/>
    </row>
    <row r="142" spans="1:4" ht="15">
      <c r="A142" s="23"/>
      <c r="B142" s="24"/>
      <c r="C142" s="24"/>
      <c r="D142" s="24"/>
    </row>
    <row r="143" spans="1:4" ht="15">
      <c r="A143" s="23"/>
      <c r="B143" s="24"/>
      <c r="C143" s="24"/>
      <c r="D143" s="24"/>
    </row>
    <row r="144" spans="1:4" ht="15">
      <c r="A144" s="23"/>
      <c r="B144" s="24"/>
      <c r="C144" s="24"/>
      <c r="D144" s="24"/>
    </row>
    <row r="145" spans="1:4" ht="15">
      <c r="A145" s="23"/>
      <c r="B145" s="24"/>
      <c r="C145" s="24"/>
      <c r="D145" s="24"/>
    </row>
    <row r="146" spans="1:4" ht="15">
      <c r="A146" s="23"/>
      <c r="B146" s="24"/>
      <c r="C146" s="24"/>
      <c r="D146" s="24"/>
    </row>
    <row r="147" spans="1:4" ht="15">
      <c r="A147" s="23"/>
      <c r="B147" s="24"/>
      <c r="C147" s="24"/>
      <c r="D147" s="24"/>
    </row>
    <row r="148" spans="1:4" ht="15">
      <c r="A148" s="23"/>
      <c r="B148" s="24"/>
      <c r="C148" s="24"/>
      <c r="D148" s="24"/>
    </row>
    <row r="149" spans="1:4" ht="15">
      <c r="A149" s="23"/>
      <c r="B149" s="24"/>
      <c r="C149" s="24"/>
      <c r="D149" s="24"/>
    </row>
    <row r="150" spans="1:4" ht="15">
      <c r="A150" s="23"/>
      <c r="B150" s="24"/>
      <c r="C150" s="24"/>
      <c r="D150" s="24"/>
    </row>
    <row r="151" spans="1:4" ht="15">
      <c r="A151" s="23"/>
      <c r="B151" s="24"/>
      <c r="C151" s="24"/>
      <c r="D151" s="24"/>
    </row>
    <row r="152" spans="1:4" ht="15">
      <c r="A152" s="23"/>
      <c r="B152" s="24"/>
      <c r="C152" s="24"/>
      <c r="D152" s="24"/>
    </row>
    <row r="153" spans="1:4" ht="15">
      <c r="A153" s="23"/>
      <c r="B153" s="24"/>
      <c r="C153" s="24"/>
      <c r="D153" s="24"/>
    </row>
    <row r="154" spans="1:4" ht="15">
      <c r="A154" s="23"/>
      <c r="B154" s="24"/>
      <c r="C154" s="24"/>
      <c r="D154" s="24"/>
    </row>
    <row r="155" spans="1:4" ht="15">
      <c r="A155" s="23"/>
      <c r="B155" s="24"/>
      <c r="C155" s="24"/>
      <c r="D155" s="24"/>
    </row>
    <row r="156" spans="1:4" ht="15">
      <c r="A156" s="23"/>
      <c r="B156" s="24"/>
      <c r="C156" s="24"/>
      <c r="D156" s="24"/>
    </row>
    <row r="157" spans="1:4" ht="15">
      <c r="A157" s="23"/>
      <c r="B157" s="24"/>
      <c r="C157" s="24"/>
      <c r="D157" s="24"/>
    </row>
    <row r="158" spans="1:4" ht="15">
      <c r="A158" s="23"/>
      <c r="B158" s="24"/>
      <c r="C158" s="24"/>
      <c r="D158" s="24"/>
    </row>
    <row r="159" spans="1:4" ht="15">
      <c r="A159" s="23"/>
      <c r="B159" s="24"/>
      <c r="C159" s="24"/>
      <c r="D159" s="24"/>
    </row>
  </sheetData>
  <sheetProtection/>
  <mergeCells count="8">
    <mergeCell ref="A123:D123"/>
    <mergeCell ref="A128:D128"/>
    <mergeCell ref="A1:D1"/>
    <mergeCell ref="A7:D7"/>
    <mergeCell ref="A25:D25"/>
    <mergeCell ref="A60:D60"/>
    <mergeCell ref="A65:D65"/>
    <mergeCell ref="A72:D72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7"/>
  <sheetViews>
    <sheetView zoomScalePageLayoutView="0" workbookViewId="0" topLeftCell="A22">
      <selection activeCell="D36" sqref="D36"/>
    </sheetView>
  </sheetViews>
  <sheetFormatPr defaultColWidth="9.140625" defaultRowHeight="15"/>
  <cols>
    <col min="1" max="1" width="6.28125" style="25" customWidth="1"/>
    <col min="2" max="2" width="51.421875" style="1" customWidth="1"/>
    <col min="3" max="3" width="9.140625" style="1" customWidth="1"/>
    <col min="4" max="4" width="16.7109375" style="1" customWidth="1"/>
    <col min="5" max="16384" width="9.140625" style="1" customWidth="1"/>
  </cols>
  <sheetData>
    <row r="1" spans="1:4" ht="33" customHeight="1">
      <c r="A1" s="39" t="s">
        <v>101</v>
      </c>
      <c r="B1" s="39"/>
      <c r="C1" s="39"/>
      <c r="D1" s="39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2.75">
      <c r="A4" s="4">
        <v>1</v>
      </c>
      <c r="B4" s="5" t="s">
        <v>4</v>
      </c>
      <c r="C4" s="4" t="s">
        <v>57</v>
      </c>
      <c r="D4" s="6">
        <v>42825</v>
      </c>
    </row>
    <row r="5" spans="1:4" s="7" customFormat="1" ht="12.75">
      <c r="A5" s="4">
        <v>2</v>
      </c>
      <c r="B5" s="5" t="s">
        <v>5</v>
      </c>
      <c r="C5" s="4" t="s">
        <v>57</v>
      </c>
      <c r="D5" s="6">
        <v>42370</v>
      </c>
    </row>
    <row r="6" spans="1:4" s="7" customFormat="1" ht="12.75">
      <c r="A6" s="4">
        <v>3</v>
      </c>
      <c r="B6" s="5" t="s">
        <v>6</v>
      </c>
      <c r="C6" s="4" t="s">
        <v>57</v>
      </c>
      <c r="D6" s="6">
        <v>42735</v>
      </c>
    </row>
    <row r="7" spans="1:4" s="7" customFormat="1" ht="27.75" customHeight="1">
      <c r="A7" s="36" t="s">
        <v>7</v>
      </c>
      <c r="B7" s="37"/>
      <c r="C7" s="37"/>
      <c r="D7" s="38"/>
    </row>
    <row r="8" spans="1:4" s="7" customFormat="1" ht="12.75">
      <c r="A8" s="4">
        <v>4</v>
      </c>
      <c r="B8" s="5" t="s">
        <v>8</v>
      </c>
      <c r="C8" s="5" t="s">
        <v>9</v>
      </c>
      <c r="D8" s="4">
        <f>D10-D9</f>
        <v>101225.76</v>
      </c>
    </row>
    <row r="9" spans="1:4" s="7" customFormat="1" ht="12.75">
      <c r="A9" s="4">
        <v>5</v>
      </c>
      <c r="B9" s="5" t="s">
        <v>10</v>
      </c>
      <c r="C9" s="5" t="s">
        <v>9</v>
      </c>
      <c r="D9" s="9">
        <f>2.85+0.02+16.99+158.19+1.42+2.95+8.47+31.32+1.63</f>
        <v>223.83999999999997</v>
      </c>
    </row>
    <row r="10" spans="1:4" s="7" customFormat="1" ht="12.75">
      <c r="A10" s="4">
        <v>6</v>
      </c>
      <c r="B10" s="5" t="s">
        <v>11</v>
      </c>
      <c r="C10" s="5" t="s">
        <v>9</v>
      </c>
      <c r="D10" s="9">
        <f>3601.66+77554.73+693.9+208.39+4134.19+15256.73</f>
        <v>101449.59999999999</v>
      </c>
    </row>
    <row r="11" spans="1:4" s="7" customFormat="1" ht="25.5">
      <c r="A11" s="4">
        <v>7</v>
      </c>
      <c r="B11" s="5" t="s">
        <v>12</v>
      </c>
      <c r="C11" s="5"/>
      <c r="D11" s="8">
        <f>0.01+5360+26800+779508.67+6988.32+2966.76+41928.96+175119.16-500+17222.04</f>
        <v>1055393.92</v>
      </c>
    </row>
    <row r="12" spans="1:4" s="7" customFormat="1" ht="12.75">
      <c r="A12" s="4">
        <v>8</v>
      </c>
      <c r="B12" s="5" t="s">
        <v>13</v>
      </c>
      <c r="C12" s="5" t="s">
        <v>9</v>
      </c>
      <c r="D12" s="8">
        <f>D11-D14</f>
        <v>872483.9199999999</v>
      </c>
    </row>
    <row r="13" spans="1:4" s="7" customFormat="1" ht="12.75">
      <c r="A13" s="4">
        <v>9</v>
      </c>
      <c r="B13" s="5" t="s">
        <v>14</v>
      </c>
      <c r="C13" s="5" t="s">
        <v>9</v>
      </c>
      <c r="D13" s="8">
        <v>0</v>
      </c>
    </row>
    <row r="14" spans="1:4" s="7" customFormat="1" ht="12.75">
      <c r="A14" s="4">
        <v>10</v>
      </c>
      <c r="B14" s="5" t="s">
        <v>15</v>
      </c>
      <c r="C14" s="5" t="s">
        <v>9</v>
      </c>
      <c r="D14" s="8">
        <v>182910</v>
      </c>
    </row>
    <row r="15" spans="1:4" s="7" customFormat="1" ht="12.75">
      <c r="A15" s="4">
        <v>11</v>
      </c>
      <c r="B15" s="5" t="s">
        <v>16</v>
      </c>
      <c r="C15" s="5" t="s">
        <v>9</v>
      </c>
      <c r="D15" s="8">
        <f>SUM(D16:D20)</f>
        <v>1039493.7700000001</v>
      </c>
    </row>
    <row r="16" spans="1:4" s="7" customFormat="1" ht="12.75">
      <c r="A16" s="4">
        <v>12</v>
      </c>
      <c r="B16" s="5" t="s">
        <v>17</v>
      </c>
      <c r="C16" s="5" t="s">
        <v>9</v>
      </c>
      <c r="D16" s="8">
        <f>-2.84-0.02+8273.52+212+22937.89+770229+6918.76+3172.67+41482.8+171363.26-501.63+15408.36</f>
        <v>1039493.7700000001</v>
      </c>
    </row>
    <row r="17" spans="1:4" s="7" customFormat="1" ht="12.75">
      <c r="A17" s="4">
        <v>13</v>
      </c>
      <c r="B17" s="5" t="s">
        <v>18</v>
      </c>
      <c r="C17" s="5" t="s">
        <v>9</v>
      </c>
      <c r="D17" s="8">
        <v>0</v>
      </c>
    </row>
    <row r="18" spans="1:4" s="7" customFormat="1" ht="12.75">
      <c r="A18" s="4">
        <v>14</v>
      </c>
      <c r="B18" s="5" t="s">
        <v>19</v>
      </c>
      <c r="C18" s="5" t="s">
        <v>9</v>
      </c>
      <c r="D18" s="8">
        <v>0</v>
      </c>
    </row>
    <row r="19" spans="1:4" s="7" customFormat="1" ht="12.75">
      <c r="A19" s="4">
        <v>15</v>
      </c>
      <c r="B19" s="5" t="s">
        <v>20</v>
      </c>
      <c r="C19" s="5" t="s">
        <v>9</v>
      </c>
      <c r="D19" s="8">
        <v>0</v>
      </c>
    </row>
    <row r="20" spans="1:4" s="7" customFormat="1" ht="13.5" customHeight="1">
      <c r="A20" s="4">
        <v>16</v>
      </c>
      <c r="B20" s="5" t="s">
        <v>21</v>
      </c>
      <c r="C20" s="5" t="s">
        <v>9</v>
      </c>
      <c r="D20" s="8">
        <v>0</v>
      </c>
    </row>
    <row r="21" spans="1:4" s="7" customFormat="1" ht="12.75">
      <c r="A21" s="4">
        <v>17</v>
      </c>
      <c r="B21" s="5" t="s">
        <v>22</v>
      </c>
      <c r="C21" s="5" t="s">
        <v>9</v>
      </c>
      <c r="D21" s="8">
        <f>D8+D15</f>
        <v>1140719.53</v>
      </c>
    </row>
    <row r="22" spans="1:4" s="7" customFormat="1" ht="12.75">
      <c r="A22" s="4">
        <v>18</v>
      </c>
      <c r="B22" s="5" t="s">
        <v>23</v>
      </c>
      <c r="C22" s="5" t="s">
        <v>9</v>
      </c>
      <c r="D22" s="8">
        <f>D24-D23</f>
        <v>117125.91</v>
      </c>
    </row>
    <row r="23" spans="1:4" s="7" customFormat="1" ht="12.75">
      <c r="A23" s="4">
        <v>19</v>
      </c>
      <c r="B23" s="5" t="s">
        <v>10</v>
      </c>
      <c r="C23" s="5" t="s">
        <v>9</v>
      </c>
      <c r="D23" s="9">
        <f>212+15.44+588.73+5.16+0.47+30.9+128.77+12.87</f>
        <v>994.34</v>
      </c>
    </row>
    <row r="24" spans="1:4" s="7" customFormat="1" ht="12.75">
      <c r="A24" s="4">
        <v>20</v>
      </c>
      <c r="B24" s="5" t="s">
        <v>11</v>
      </c>
      <c r="C24" s="5" t="s">
        <v>9</v>
      </c>
      <c r="D24" s="9">
        <f>671.15+3877.55+87264.94+767.2+4602.78+19110.08+1826.55</f>
        <v>118120.25</v>
      </c>
    </row>
    <row r="25" spans="1:4" s="7" customFormat="1" ht="26.25" customHeight="1">
      <c r="A25" s="36" t="s">
        <v>24</v>
      </c>
      <c r="B25" s="37"/>
      <c r="C25" s="37"/>
      <c r="D25" s="38"/>
    </row>
    <row r="26" spans="1:4" s="7" customFormat="1" ht="27.75" customHeight="1">
      <c r="A26" s="4">
        <v>21</v>
      </c>
      <c r="B26" s="5" t="s">
        <v>62</v>
      </c>
      <c r="C26" s="5" t="s">
        <v>9</v>
      </c>
      <c r="D26" s="8">
        <v>56640</v>
      </c>
    </row>
    <row r="27" spans="1:4" s="7" customFormat="1" ht="19.5" customHeight="1">
      <c r="A27" s="4"/>
      <c r="B27" s="5" t="s">
        <v>63</v>
      </c>
      <c r="C27" s="5" t="s">
        <v>65</v>
      </c>
      <c r="D27" s="34">
        <f>D26/12/4159.6</f>
        <v>1.1347244927396865</v>
      </c>
    </row>
    <row r="28" spans="1:4" s="7" customFormat="1" ht="14.25" customHeight="1">
      <c r="A28" s="4"/>
      <c r="B28" s="5" t="s">
        <v>25</v>
      </c>
      <c r="C28" s="5"/>
      <c r="D28" s="4" t="s">
        <v>64</v>
      </c>
    </row>
    <row r="29" spans="1:4" s="7" customFormat="1" ht="26.25" customHeight="1">
      <c r="A29" s="4">
        <v>22</v>
      </c>
      <c r="B29" s="5" t="s">
        <v>66</v>
      </c>
      <c r="C29" s="5" t="s">
        <v>9</v>
      </c>
      <c r="D29" s="8">
        <v>168821</v>
      </c>
    </row>
    <row r="30" spans="1:4" s="7" customFormat="1" ht="14.25" customHeight="1">
      <c r="A30" s="4"/>
      <c r="B30" s="10" t="s">
        <v>67</v>
      </c>
      <c r="C30" s="5" t="s">
        <v>65</v>
      </c>
      <c r="D30" s="11">
        <f>D29/12/4159.6</f>
        <v>3.382156136808026</v>
      </c>
    </row>
    <row r="31" spans="1:4" s="7" customFormat="1" ht="14.25" customHeight="1">
      <c r="A31" s="12"/>
      <c r="B31" s="5" t="s">
        <v>25</v>
      </c>
      <c r="C31" s="5"/>
      <c r="D31" s="4" t="s">
        <v>68</v>
      </c>
    </row>
    <row r="32" spans="1:4" s="7" customFormat="1" ht="26.25" customHeight="1">
      <c r="A32" s="4">
        <v>23</v>
      </c>
      <c r="B32" s="5" t="s">
        <v>69</v>
      </c>
      <c r="C32" s="5" t="s">
        <v>9</v>
      </c>
      <c r="D32" s="8">
        <v>5859</v>
      </c>
    </row>
    <row r="33" spans="1:4" s="7" customFormat="1" ht="14.25" customHeight="1">
      <c r="A33" s="4"/>
      <c r="B33" s="10" t="s">
        <v>70</v>
      </c>
      <c r="C33" s="5" t="s">
        <v>65</v>
      </c>
      <c r="D33" s="11">
        <v>0.14</v>
      </c>
    </row>
    <row r="34" spans="1:4" s="7" customFormat="1" ht="14.25" customHeight="1">
      <c r="A34" s="12"/>
      <c r="B34" s="5" t="s">
        <v>25</v>
      </c>
      <c r="C34" s="5"/>
      <c r="D34" s="4" t="s">
        <v>71</v>
      </c>
    </row>
    <row r="35" spans="1:4" s="7" customFormat="1" ht="40.5" customHeight="1">
      <c r="A35" s="4">
        <v>24</v>
      </c>
      <c r="B35" s="5" t="s">
        <v>90</v>
      </c>
      <c r="C35" s="5" t="s">
        <v>9</v>
      </c>
      <c r="D35" s="8">
        <f>245523+10766-100000</f>
        <v>156289</v>
      </c>
    </row>
    <row r="36" spans="1:4" s="7" customFormat="1" ht="14.25" customHeight="1">
      <c r="A36" s="4"/>
      <c r="B36" s="10" t="s">
        <v>72</v>
      </c>
      <c r="C36" s="5" t="s">
        <v>65</v>
      </c>
      <c r="D36" s="11">
        <f>(245523-100000)/12/4159.6</f>
        <v>2.915404526076225</v>
      </c>
    </row>
    <row r="37" spans="1:4" s="7" customFormat="1" ht="14.25" customHeight="1">
      <c r="A37" s="12"/>
      <c r="B37" s="5" t="s">
        <v>25</v>
      </c>
      <c r="C37" s="5"/>
      <c r="D37" s="4" t="s">
        <v>73</v>
      </c>
    </row>
    <row r="38" spans="1:4" s="7" customFormat="1" ht="14.25" customHeight="1">
      <c r="A38" s="4"/>
      <c r="B38" s="10" t="s">
        <v>74</v>
      </c>
      <c r="C38" s="5" t="s">
        <v>65</v>
      </c>
      <c r="D38" s="11">
        <f>10766/12/4159.6</f>
        <v>0.21568580312209504</v>
      </c>
    </row>
    <row r="39" spans="1:4" s="7" customFormat="1" ht="14.25" customHeight="1">
      <c r="A39" s="12"/>
      <c r="B39" s="5" t="s">
        <v>25</v>
      </c>
      <c r="C39" s="5"/>
      <c r="D39" s="4" t="s">
        <v>73</v>
      </c>
    </row>
    <row r="40" spans="1:4" s="7" customFormat="1" ht="25.5" customHeight="1">
      <c r="A40" s="4">
        <v>25</v>
      </c>
      <c r="B40" s="5" t="s">
        <v>89</v>
      </c>
      <c r="C40" s="5" t="s">
        <v>9</v>
      </c>
      <c r="D40" s="8">
        <v>28086</v>
      </c>
    </row>
    <row r="41" spans="1:4" s="7" customFormat="1" ht="28.5" customHeight="1">
      <c r="A41" s="4"/>
      <c r="B41" s="10" t="s">
        <v>93</v>
      </c>
      <c r="C41" s="5" t="s">
        <v>65</v>
      </c>
      <c r="D41" s="11">
        <f>D40/12/4159.6</f>
        <v>0.5626742956053467</v>
      </c>
    </row>
    <row r="42" spans="1:4" s="7" customFormat="1" ht="14.25" customHeight="1">
      <c r="A42" s="12"/>
      <c r="B42" s="5" t="s">
        <v>25</v>
      </c>
      <c r="C42" s="5"/>
      <c r="D42" s="4" t="s">
        <v>73</v>
      </c>
    </row>
    <row r="43" spans="1:4" s="7" customFormat="1" ht="54" customHeight="1">
      <c r="A43" s="4">
        <v>26</v>
      </c>
      <c r="B43" s="5" t="s">
        <v>77</v>
      </c>
      <c r="C43" s="5" t="s">
        <v>9</v>
      </c>
      <c r="D43" s="8">
        <f>73505+100000</f>
        <v>173505</v>
      </c>
    </row>
    <row r="44" spans="1:4" s="7" customFormat="1" ht="14.25" customHeight="1">
      <c r="A44" s="4"/>
      <c r="B44" s="10" t="s">
        <v>78</v>
      </c>
      <c r="C44" s="5" t="s">
        <v>65</v>
      </c>
      <c r="D44" s="11">
        <f>D43/12/4159.6</f>
        <v>3.475995288008462</v>
      </c>
    </row>
    <row r="45" spans="1:4" s="7" customFormat="1" ht="14.25" customHeight="1">
      <c r="A45" s="12"/>
      <c r="B45" s="5" t="s">
        <v>25</v>
      </c>
      <c r="C45" s="5"/>
      <c r="D45" s="4" t="s">
        <v>68</v>
      </c>
    </row>
    <row r="46" spans="1:4" s="7" customFormat="1" ht="16.5" customHeight="1">
      <c r="A46" s="4">
        <v>27</v>
      </c>
      <c r="B46" s="5" t="s">
        <v>79</v>
      </c>
      <c r="C46" s="5" t="s">
        <v>9</v>
      </c>
      <c r="D46" s="8">
        <v>41929</v>
      </c>
    </row>
    <row r="47" spans="1:4" s="7" customFormat="1" ht="14.25" customHeight="1">
      <c r="A47" s="4"/>
      <c r="B47" s="10" t="s">
        <v>80</v>
      </c>
      <c r="C47" s="5" t="s">
        <v>65</v>
      </c>
      <c r="D47" s="11">
        <f>D46/12/4159.6</f>
        <v>0.8400046478828092</v>
      </c>
    </row>
    <row r="48" spans="1:4" s="7" customFormat="1" ht="14.25" customHeight="1">
      <c r="A48" s="12"/>
      <c r="B48" s="5" t="s">
        <v>25</v>
      </c>
      <c r="C48" s="5"/>
      <c r="D48" s="4" t="s">
        <v>81</v>
      </c>
    </row>
    <row r="49" spans="1:4" s="7" customFormat="1" ht="29.25" customHeight="1">
      <c r="A49" s="4">
        <v>28</v>
      </c>
      <c r="B49" s="5" t="s">
        <v>82</v>
      </c>
      <c r="C49" s="5" t="s">
        <v>9</v>
      </c>
      <c r="D49" s="8">
        <v>93464</v>
      </c>
    </row>
    <row r="50" spans="1:4" s="7" customFormat="1" ht="14.25" customHeight="1">
      <c r="A50" s="4"/>
      <c r="B50" s="10" t="s">
        <v>83</v>
      </c>
      <c r="C50" s="5" t="s">
        <v>65</v>
      </c>
      <c r="D50" s="11">
        <f>D49/12/4159.6</f>
        <v>1.872455684841491</v>
      </c>
    </row>
    <row r="51" spans="1:4" s="7" customFormat="1" ht="14.25" customHeight="1">
      <c r="A51" s="12"/>
      <c r="B51" s="5" t="s">
        <v>25</v>
      </c>
      <c r="C51" s="5"/>
      <c r="D51" s="4" t="s">
        <v>68</v>
      </c>
    </row>
    <row r="52" spans="1:4" s="7" customFormat="1" ht="25.5" customHeight="1">
      <c r="A52" s="4">
        <v>29</v>
      </c>
      <c r="B52" s="5" t="s">
        <v>84</v>
      </c>
      <c r="C52" s="5" t="s">
        <v>9</v>
      </c>
      <c r="D52" s="8">
        <v>175449</v>
      </c>
    </row>
    <row r="53" spans="1:4" s="7" customFormat="1" ht="28.5" customHeight="1">
      <c r="A53" s="4"/>
      <c r="B53" s="10" t="s">
        <v>85</v>
      </c>
      <c r="C53" s="5" t="s">
        <v>65</v>
      </c>
      <c r="D53" s="11">
        <f>D52/12/4159.6</f>
        <v>3.5149413405135106</v>
      </c>
    </row>
    <row r="54" spans="1:4" s="7" customFormat="1" ht="14.25" customHeight="1">
      <c r="A54" s="12"/>
      <c r="B54" s="5" t="s">
        <v>25</v>
      </c>
      <c r="C54" s="5"/>
      <c r="D54" s="4" t="s">
        <v>73</v>
      </c>
    </row>
    <row r="55" spans="1:4" s="7" customFormat="1" ht="28.5" customHeight="1">
      <c r="A55" s="4">
        <v>30</v>
      </c>
      <c r="B55" s="5" t="s">
        <v>86</v>
      </c>
      <c r="C55" s="5" t="s">
        <v>9</v>
      </c>
      <c r="D55" s="8">
        <v>15603</v>
      </c>
    </row>
    <row r="56" spans="1:4" s="7" customFormat="1" ht="26.25" customHeight="1">
      <c r="A56" s="4"/>
      <c r="B56" s="10" t="s">
        <v>87</v>
      </c>
      <c r="C56" s="5" t="s">
        <v>65</v>
      </c>
      <c r="D56" s="11">
        <f>D55/12/4159.6</f>
        <v>0.31259015289931724</v>
      </c>
    </row>
    <row r="57" spans="1:5" s="7" customFormat="1" ht="27.75" customHeight="1">
      <c r="A57" s="12"/>
      <c r="B57" s="5" t="s">
        <v>25</v>
      </c>
      <c r="C57" s="5"/>
      <c r="D57" s="4" t="s">
        <v>88</v>
      </c>
      <c r="E57" s="14"/>
    </row>
    <row r="58" spans="1:4" s="7" customFormat="1" ht="16.5" customHeight="1">
      <c r="A58" s="36" t="s">
        <v>26</v>
      </c>
      <c r="B58" s="37"/>
      <c r="C58" s="37"/>
      <c r="D58" s="38"/>
    </row>
    <row r="59" spans="1:4" s="7" customFormat="1" ht="14.25" customHeight="1">
      <c r="A59" s="4">
        <f>A55+1</f>
        <v>31</v>
      </c>
      <c r="B59" s="5" t="s">
        <v>27</v>
      </c>
      <c r="C59" s="5" t="s">
        <v>28</v>
      </c>
      <c r="D59" s="4">
        <v>0</v>
      </c>
    </row>
    <row r="60" spans="1:4" s="7" customFormat="1" ht="14.25" customHeight="1">
      <c r="A60" s="4">
        <f>A59+1</f>
        <v>32</v>
      </c>
      <c r="B60" s="5" t="s">
        <v>29</v>
      </c>
      <c r="C60" s="5" t="s">
        <v>30</v>
      </c>
      <c r="D60" s="4">
        <v>0</v>
      </c>
    </row>
    <row r="61" spans="1:4" s="7" customFormat="1" ht="14.25" customHeight="1">
      <c r="A61" s="4">
        <f>A60+1</f>
        <v>33</v>
      </c>
      <c r="B61" s="5" t="s">
        <v>31</v>
      </c>
      <c r="C61" s="5" t="s">
        <v>28</v>
      </c>
      <c r="D61" s="4">
        <v>0</v>
      </c>
    </row>
    <row r="62" spans="1:4" s="7" customFormat="1" ht="14.25" customHeight="1">
      <c r="A62" s="4">
        <f>A61+1</f>
        <v>34</v>
      </c>
      <c r="B62" s="5" t="s">
        <v>32</v>
      </c>
      <c r="C62" s="5" t="s">
        <v>9</v>
      </c>
      <c r="D62" s="4">
        <v>0</v>
      </c>
    </row>
    <row r="63" spans="1:4" s="7" customFormat="1" ht="17.25" customHeight="1">
      <c r="A63" s="36" t="s">
        <v>33</v>
      </c>
      <c r="B63" s="37"/>
      <c r="C63" s="37"/>
      <c r="D63" s="38"/>
    </row>
    <row r="64" spans="1:4" s="7" customFormat="1" ht="25.5">
      <c r="A64" s="4">
        <f>A62+1</f>
        <v>35</v>
      </c>
      <c r="B64" s="5" t="s">
        <v>34</v>
      </c>
      <c r="C64" s="5" t="s">
        <v>9</v>
      </c>
      <c r="D64" s="8">
        <f>D65+D66</f>
        <v>152779.25999999998</v>
      </c>
    </row>
    <row r="65" spans="1:4" s="7" customFormat="1" ht="15" customHeight="1">
      <c r="A65" s="4">
        <f>A64+1</f>
        <v>36</v>
      </c>
      <c r="B65" s="5" t="s">
        <v>10</v>
      </c>
      <c r="C65" s="5" t="s">
        <v>9</v>
      </c>
      <c r="D65" s="8">
        <f>92.96+41.27+29.8+37.5+95.08</f>
        <v>296.61</v>
      </c>
    </row>
    <row r="66" spans="1:4" s="7" customFormat="1" ht="15" customHeight="1">
      <c r="A66" s="4">
        <f>A65+1</f>
        <v>37</v>
      </c>
      <c r="B66" s="5" t="s">
        <v>11</v>
      </c>
      <c r="C66" s="5" t="s">
        <v>9</v>
      </c>
      <c r="D66" s="8">
        <f>48016.03+20252.09+18225.89+20897.04+45091.6</f>
        <v>152482.65</v>
      </c>
    </row>
    <row r="67" spans="1:4" s="7" customFormat="1" ht="25.5">
      <c r="A67" s="4">
        <f>A66+1</f>
        <v>38</v>
      </c>
      <c r="B67" s="5" t="s">
        <v>35</v>
      </c>
      <c r="C67" s="5" t="s">
        <v>9</v>
      </c>
      <c r="D67" s="8">
        <f>D69-D68</f>
        <v>150720.97</v>
      </c>
    </row>
    <row r="68" spans="1:4" s="7" customFormat="1" ht="13.5" customHeight="1">
      <c r="A68" s="4">
        <f>A67+1</f>
        <v>39</v>
      </c>
      <c r="B68" s="5" t="s">
        <v>10</v>
      </c>
      <c r="C68" s="5" t="s">
        <v>9</v>
      </c>
      <c r="D68" s="8">
        <f>353.21+451.48+407.66+420.64+1325.3</f>
        <v>2958.29</v>
      </c>
    </row>
    <row r="69" spans="1:5" s="7" customFormat="1" ht="13.5" customHeight="1">
      <c r="A69" s="4">
        <f>A68+1</f>
        <v>40</v>
      </c>
      <c r="B69" s="5" t="s">
        <v>11</v>
      </c>
      <c r="C69" s="5" t="s">
        <v>9</v>
      </c>
      <c r="D69" s="8">
        <f>50395.87+20313.18+16829.24+17076.42+49064.55</f>
        <v>153679.26</v>
      </c>
      <c r="E69" s="14"/>
    </row>
    <row r="70" spans="1:4" s="7" customFormat="1" ht="18" customHeight="1">
      <c r="A70" s="36" t="s">
        <v>52</v>
      </c>
      <c r="B70" s="37"/>
      <c r="C70" s="37"/>
      <c r="D70" s="38"/>
    </row>
    <row r="71" spans="1:4" s="7" customFormat="1" ht="12.75">
      <c r="A71" s="4">
        <f>A69+1</f>
        <v>41</v>
      </c>
      <c r="B71" s="5" t="s">
        <v>36</v>
      </c>
      <c r="C71" s="5"/>
      <c r="D71" s="15" t="s">
        <v>53</v>
      </c>
    </row>
    <row r="72" spans="1:4" s="7" customFormat="1" ht="12.75">
      <c r="A72" s="4">
        <f>A71+1</f>
        <v>42</v>
      </c>
      <c r="B72" s="5" t="s">
        <v>37</v>
      </c>
      <c r="C72" s="5"/>
      <c r="D72" s="4" t="s">
        <v>59</v>
      </c>
    </row>
    <row r="73" spans="1:4" s="7" customFormat="1" ht="12.75">
      <c r="A73" s="4">
        <f aca="true" t="shared" si="0" ref="A73:A120">A72+1</f>
        <v>43</v>
      </c>
      <c r="B73" s="5" t="s">
        <v>38</v>
      </c>
      <c r="C73" s="5" t="s">
        <v>39</v>
      </c>
      <c r="D73" s="4">
        <f>(19.545+16.905+14.535+13.725+16.83+13.77+12.93+14.58+13.83+15.81+17.58+15.48)*1000</f>
        <v>185519.99999999994</v>
      </c>
    </row>
    <row r="74" spans="1:4" s="7" customFormat="1" ht="12.75">
      <c r="A74" s="4">
        <f t="shared" si="0"/>
        <v>44</v>
      </c>
      <c r="B74" s="5" t="s">
        <v>40</v>
      </c>
      <c r="C74" s="5" t="s">
        <v>9</v>
      </c>
      <c r="D74" s="8">
        <v>389810.47</v>
      </c>
    </row>
    <row r="75" spans="1:4" s="7" customFormat="1" ht="12.75">
      <c r="A75" s="4">
        <f t="shared" si="0"/>
        <v>45</v>
      </c>
      <c r="B75" s="5" t="s">
        <v>41</v>
      </c>
      <c r="C75" s="5" t="s">
        <v>9</v>
      </c>
      <c r="D75" s="8">
        <v>387067.74</v>
      </c>
    </row>
    <row r="76" spans="1:4" s="7" customFormat="1" ht="12.75">
      <c r="A76" s="4">
        <f t="shared" si="0"/>
        <v>46</v>
      </c>
      <c r="B76" s="5" t="s">
        <v>42</v>
      </c>
      <c r="C76" s="5" t="s">
        <v>9</v>
      </c>
      <c r="D76" s="8">
        <f>D74-D75</f>
        <v>2742.7299999999814</v>
      </c>
    </row>
    <row r="77" spans="1:4" s="18" customFormat="1" ht="12.75">
      <c r="A77" s="4">
        <f t="shared" si="0"/>
        <v>47</v>
      </c>
      <c r="B77" s="16" t="s">
        <v>43</v>
      </c>
      <c r="C77" s="16" t="s">
        <v>9</v>
      </c>
      <c r="D77" s="17">
        <v>387532.8</v>
      </c>
    </row>
    <row r="78" spans="1:4" s="18" customFormat="1" ht="12.75">
      <c r="A78" s="4">
        <f t="shared" si="0"/>
        <v>48</v>
      </c>
      <c r="B78" s="16" t="s">
        <v>44</v>
      </c>
      <c r="C78" s="16" t="s">
        <v>9</v>
      </c>
      <c r="D78" s="17">
        <v>389985</v>
      </c>
    </row>
    <row r="79" spans="1:4" s="18" customFormat="1" ht="12.75">
      <c r="A79" s="4">
        <f t="shared" si="0"/>
        <v>49</v>
      </c>
      <c r="B79" s="16" t="s">
        <v>45</v>
      </c>
      <c r="C79" s="16" t="s">
        <v>9</v>
      </c>
      <c r="D79" s="17">
        <f>D78-D77</f>
        <v>2452.2000000000116</v>
      </c>
    </row>
    <row r="80" spans="1:4" s="18" customFormat="1" ht="25.5">
      <c r="A80" s="4">
        <f t="shared" si="0"/>
        <v>50</v>
      </c>
      <c r="B80" s="16" t="s">
        <v>46</v>
      </c>
      <c r="C80" s="16" t="s">
        <v>9</v>
      </c>
      <c r="D80" s="19">
        <v>0</v>
      </c>
    </row>
    <row r="81" spans="1:4" s="7" customFormat="1" ht="24">
      <c r="A81" s="4">
        <f t="shared" si="0"/>
        <v>51</v>
      </c>
      <c r="B81" s="5" t="s">
        <v>36</v>
      </c>
      <c r="C81" s="5"/>
      <c r="D81" s="15" t="s">
        <v>54</v>
      </c>
    </row>
    <row r="82" spans="1:4" s="7" customFormat="1" ht="12.75">
      <c r="A82" s="4">
        <f t="shared" si="0"/>
        <v>52</v>
      </c>
      <c r="B82" s="5" t="s">
        <v>37</v>
      </c>
      <c r="C82" s="5"/>
      <c r="D82" s="4" t="s">
        <v>60</v>
      </c>
    </row>
    <row r="83" spans="1:4" s="7" customFormat="1" ht="12.75">
      <c r="A83" s="4">
        <f t="shared" si="0"/>
        <v>53</v>
      </c>
      <c r="B83" s="5" t="s">
        <v>38</v>
      </c>
      <c r="C83" s="5" t="s">
        <v>39</v>
      </c>
      <c r="D83" s="4">
        <f>23.651+735.349+27.4+697.6+16.01+671.99+5.01+601.99+5.01+653.99+5.01+730.99+5.01+677.99+5.01+708.99+5.01+689.99+5.01+649.99+20.009+671.991+5.01+661.99</f>
        <v>8280</v>
      </c>
    </row>
    <row r="84" spans="1:4" s="7" customFormat="1" ht="12.75">
      <c r="A84" s="4">
        <f t="shared" si="0"/>
        <v>54</v>
      </c>
      <c r="B84" s="5" t="s">
        <v>40</v>
      </c>
      <c r="C84" s="5" t="s">
        <v>9</v>
      </c>
      <c r="D84" s="8">
        <v>165297.55</v>
      </c>
    </row>
    <row r="85" spans="1:4" s="7" customFormat="1" ht="12.75">
      <c r="A85" s="4">
        <f t="shared" si="0"/>
        <v>55</v>
      </c>
      <c r="B85" s="5" t="s">
        <v>41</v>
      </c>
      <c r="C85" s="5" t="s">
        <v>9</v>
      </c>
      <c r="D85" s="8">
        <v>165646.67</v>
      </c>
    </row>
    <row r="86" spans="1:4" s="7" customFormat="1" ht="12.75">
      <c r="A86" s="4">
        <f t="shared" si="0"/>
        <v>56</v>
      </c>
      <c r="B86" s="5" t="s">
        <v>42</v>
      </c>
      <c r="C86" s="5" t="s">
        <v>9</v>
      </c>
      <c r="D86" s="8">
        <f>D84-D85</f>
        <v>-349.12000000002445</v>
      </c>
    </row>
    <row r="87" spans="1:4" s="18" customFormat="1" ht="12.75">
      <c r="A87" s="4">
        <f t="shared" si="0"/>
        <v>57</v>
      </c>
      <c r="B87" s="16" t="s">
        <v>43</v>
      </c>
      <c r="C87" s="16" t="s">
        <v>9</v>
      </c>
      <c r="D87" s="17">
        <v>232510.49</v>
      </c>
    </row>
    <row r="88" spans="1:4" s="18" customFormat="1" ht="12.75">
      <c r="A88" s="4">
        <f t="shared" si="0"/>
        <v>58</v>
      </c>
      <c r="B88" s="16" t="s">
        <v>44</v>
      </c>
      <c r="C88" s="16" t="s">
        <v>9</v>
      </c>
      <c r="D88" s="17">
        <v>238802</v>
      </c>
    </row>
    <row r="89" spans="1:4" s="18" customFormat="1" ht="12.75">
      <c r="A89" s="4">
        <f t="shared" si="0"/>
        <v>59</v>
      </c>
      <c r="B89" s="16" t="s">
        <v>45</v>
      </c>
      <c r="C89" s="16" t="s">
        <v>9</v>
      </c>
      <c r="D89" s="17">
        <f>D88-D87</f>
        <v>6291.510000000009</v>
      </c>
    </row>
    <row r="90" spans="1:4" s="18" customFormat="1" ht="25.5">
      <c r="A90" s="4">
        <f t="shared" si="0"/>
        <v>60</v>
      </c>
      <c r="B90" s="16" t="s">
        <v>46</v>
      </c>
      <c r="C90" s="16" t="s">
        <v>9</v>
      </c>
      <c r="D90" s="19">
        <v>0</v>
      </c>
    </row>
    <row r="91" spans="1:4" s="7" customFormat="1" ht="25.5">
      <c r="A91" s="4">
        <f t="shared" si="0"/>
        <v>61</v>
      </c>
      <c r="B91" s="5" t="s">
        <v>36</v>
      </c>
      <c r="C91" s="5"/>
      <c r="D91" s="20" t="s">
        <v>55</v>
      </c>
    </row>
    <row r="92" spans="1:4" s="7" customFormat="1" ht="12.75">
      <c r="A92" s="4">
        <f t="shared" si="0"/>
        <v>62</v>
      </c>
      <c r="B92" s="5" t="s">
        <v>37</v>
      </c>
      <c r="C92" s="5"/>
      <c r="D92" s="4" t="s">
        <v>60</v>
      </c>
    </row>
    <row r="93" spans="1:4" s="7" customFormat="1" ht="12.75">
      <c r="A93" s="4">
        <f t="shared" si="0"/>
        <v>63</v>
      </c>
      <c r="B93" s="5" t="s">
        <v>38</v>
      </c>
      <c r="C93" s="5" t="s">
        <v>39</v>
      </c>
      <c r="D93" s="4">
        <v>5233</v>
      </c>
    </row>
    <row r="94" spans="1:4" s="7" customFormat="1" ht="12.75">
      <c r="A94" s="4">
        <f t="shared" si="0"/>
        <v>64</v>
      </c>
      <c r="B94" s="5" t="s">
        <v>40</v>
      </c>
      <c r="C94" s="5" t="s">
        <v>9</v>
      </c>
      <c r="D94" s="8">
        <v>153294.23</v>
      </c>
    </row>
    <row r="95" spans="1:4" s="7" customFormat="1" ht="12.75">
      <c r="A95" s="4">
        <f t="shared" si="0"/>
        <v>65</v>
      </c>
      <c r="B95" s="5" t="s">
        <v>41</v>
      </c>
      <c r="C95" s="5" t="s">
        <v>9</v>
      </c>
      <c r="D95" s="8">
        <v>157497.99</v>
      </c>
    </row>
    <row r="96" spans="1:4" s="7" customFormat="1" ht="12.75">
      <c r="A96" s="4">
        <f t="shared" si="0"/>
        <v>66</v>
      </c>
      <c r="B96" s="5" t="s">
        <v>42</v>
      </c>
      <c r="C96" s="5" t="s">
        <v>9</v>
      </c>
      <c r="D96" s="8">
        <f>D94-D95</f>
        <v>-4203.75999999998</v>
      </c>
    </row>
    <row r="97" spans="1:4" s="18" customFormat="1" ht="12.75">
      <c r="A97" s="4">
        <f t="shared" si="0"/>
        <v>67</v>
      </c>
      <c r="B97" s="16" t="s">
        <v>43</v>
      </c>
      <c r="C97" s="16" t="s">
        <v>9</v>
      </c>
      <c r="D97" s="17">
        <v>168225.43</v>
      </c>
    </row>
    <row r="98" spans="1:4" s="18" customFormat="1" ht="12.75">
      <c r="A98" s="4">
        <f t="shared" si="0"/>
        <v>68</v>
      </c>
      <c r="B98" s="16" t="s">
        <v>44</v>
      </c>
      <c r="C98" s="16" t="s">
        <v>9</v>
      </c>
      <c r="D98" s="17">
        <v>160178</v>
      </c>
    </row>
    <row r="99" spans="1:4" s="18" customFormat="1" ht="12.75">
      <c r="A99" s="4">
        <f t="shared" si="0"/>
        <v>69</v>
      </c>
      <c r="B99" s="16" t="s">
        <v>45</v>
      </c>
      <c r="C99" s="16" t="s">
        <v>9</v>
      </c>
      <c r="D99" s="17">
        <f>D98-D97</f>
        <v>-8047.429999999993</v>
      </c>
    </row>
    <row r="100" spans="1:4" s="18" customFormat="1" ht="25.5">
      <c r="A100" s="4">
        <f t="shared" si="0"/>
        <v>70</v>
      </c>
      <c r="B100" s="16" t="s">
        <v>46</v>
      </c>
      <c r="C100" s="16" t="s">
        <v>9</v>
      </c>
      <c r="D100" s="19">
        <v>0</v>
      </c>
    </row>
    <row r="101" spans="1:4" s="7" customFormat="1" ht="24">
      <c r="A101" s="4">
        <f t="shared" si="0"/>
        <v>71</v>
      </c>
      <c r="B101" s="5" t="s">
        <v>36</v>
      </c>
      <c r="C101" s="5"/>
      <c r="D101" s="15" t="s">
        <v>58</v>
      </c>
    </row>
    <row r="102" spans="1:4" s="7" customFormat="1" ht="12.75">
      <c r="A102" s="4">
        <f t="shared" si="0"/>
        <v>72</v>
      </c>
      <c r="B102" s="5" t="s">
        <v>37</v>
      </c>
      <c r="C102" s="5"/>
      <c r="D102" s="4" t="s">
        <v>61</v>
      </c>
    </row>
    <row r="103" spans="1:4" s="7" customFormat="1" ht="12.75">
      <c r="A103" s="4">
        <f t="shared" si="0"/>
        <v>73</v>
      </c>
      <c r="B103" s="5" t="s">
        <v>38</v>
      </c>
      <c r="C103" s="5" t="s">
        <v>39</v>
      </c>
      <c r="D103" s="4">
        <v>679</v>
      </c>
    </row>
    <row r="104" spans="1:4" s="7" customFormat="1" ht="12.75">
      <c r="A104" s="4">
        <f t="shared" si="0"/>
        <v>74</v>
      </c>
      <c r="B104" s="5" t="s">
        <v>40</v>
      </c>
      <c r="C104" s="5" t="s">
        <v>9</v>
      </c>
      <c r="D104" s="8">
        <v>348527.23</v>
      </c>
    </row>
    <row r="105" spans="1:4" s="7" customFormat="1" ht="12.75">
      <c r="A105" s="4">
        <f t="shared" si="0"/>
        <v>75</v>
      </c>
      <c r="B105" s="5" t="s">
        <v>41</v>
      </c>
      <c r="C105" s="5" t="s">
        <v>9</v>
      </c>
      <c r="D105" s="8">
        <v>346407.64</v>
      </c>
    </row>
    <row r="106" spans="1:4" s="7" customFormat="1" ht="12.75">
      <c r="A106" s="4">
        <f t="shared" si="0"/>
        <v>76</v>
      </c>
      <c r="B106" s="5" t="s">
        <v>42</v>
      </c>
      <c r="C106" s="5" t="s">
        <v>9</v>
      </c>
      <c r="D106" s="8">
        <f>D104-D105</f>
        <v>2119.5899999999674</v>
      </c>
    </row>
    <row r="107" spans="1:4" s="18" customFormat="1" ht="12.75">
      <c r="A107" s="4">
        <f t="shared" si="0"/>
        <v>77</v>
      </c>
      <c r="B107" s="16" t="s">
        <v>43</v>
      </c>
      <c r="C107" s="16" t="s">
        <v>9</v>
      </c>
      <c r="D107" s="17">
        <v>468175.83</v>
      </c>
    </row>
    <row r="108" spans="1:4" s="18" customFormat="1" ht="12.75">
      <c r="A108" s="4">
        <f t="shared" si="0"/>
        <v>78</v>
      </c>
      <c r="B108" s="16" t="s">
        <v>44</v>
      </c>
      <c r="C108" s="16" t="s">
        <v>9</v>
      </c>
      <c r="D108" s="17">
        <v>445577</v>
      </c>
    </row>
    <row r="109" spans="1:4" s="18" customFormat="1" ht="12.75">
      <c r="A109" s="4">
        <f t="shared" si="0"/>
        <v>79</v>
      </c>
      <c r="B109" s="16" t="s">
        <v>45</v>
      </c>
      <c r="C109" s="16" t="s">
        <v>9</v>
      </c>
      <c r="D109" s="17">
        <f>D108-D107</f>
        <v>-22598.830000000016</v>
      </c>
    </row>
    <row r="110" spans="1:4" s="18" customFormat="1" ht="25.5">
      <c r="A110" s="4">
        <f t="shared" si="0"/>
        <v>80</v>
      </c>
      <c r="B110" s="16" t="s">
        <v>46</v>
      </c>
      <c r="C110" s="16" t="s">
        <v>9</v>
      </c>
      <c r="D110" s="19">
        <v>0</v>
      </c>
    </row>
    <row r="111" spans="1:4" s="7" customFormat="1" ht="12.75">
      <c r="A111" s="4">
        <f t="shared" si="0"/>
        <v>81</v>
      </c>
      <c r="B111" s="5" t="s">
        <v>36</v>
      </c>
      <c r="C111" s="5"/>
      <c r="D111" s="20" t="s">
        <v>56</v>
      </c>
    </row>
    <row r="112" spans="1:4" s="7" customFormat="1" ht="12.75">
      <c r="A112" s="4">
        <f t="shared" si="0"/>
        <v>82</v>
      </c>
      <c r="B112" s="5" t="s">
        <v>37</v>
      </c>
      <c r="C112" s="5"/>
      <c r="D112" s="4" t="s">
        <v>60</v>
      </c>
    </row>
    <row r="113" spans="1:4" s="7" customFormat="1" ht="12.75">
      <c r="A113" s="4">
        <f t="shared" si="0"/>
        <v>83</v>
      </c>
      <c r="B113" s="5" t="s">
        <v>38</v>
      </c>
      <c r="C113" s="5" t="s">
        <v>39</v>
      </c>
      <c r="D113" s="4">
        <f>42.418+1130.551+51.408+1121.812+28.01+1098.451+5.01+1078.958+5.01+1072.81+5.01+1075.478+5.01+805.053+5.01+814.59+5.01+906.593+5.01+841.036+28.008+850.562+5.01+795.944</f>
        <v>11781.762</v>
      </c>
    </row>
    <row r="114" spans="1:4" s="7" customFormat="1" ht="12.75">
      <c r="A114" s="4">
        <f t="shared" si="0"/>
        <v>84</v>
      </c>
      <c r="B114" s="5" t="s">
        <v>40</v>
      </c>
      <c r="C114" s="5" t="s">
        <v>9</v>
      </c>
      <c r="D114" s="8">
        <v>141489.66</v>
      </c>
    </row>
    <row r="115" spans="1:4" s="7" customFormat="1" ht="12.75">
      <c r="A115" s="4">
        <f t="shared" si="0"/>
        <v>85</v>
      </c>
      <c r="B115" s="5" t="s">
        <v>41</v>
      </c>
      <c r="C115" s="5" t="s">
        <v>9</v>
      </c>
      <c r="D115" s="8">
        <v>143264.17</v>
      </c>
    </row>
    <row r="116" spans="1:4" s="7" customFormat="1" ht="12.75">
      <c r="A116" s="4">
        <f t="shared" si="0"/>
        <v>86</v>
      </c>
      <c r="B116" s="5" t="s">
        <v>42</v>
      </c>
      <c r="C116" s="5" t="s">
        <v>9</v>
      </c>
      <c r="D116" s="8">
        <f>D114-D115</f>
        <v>-1774.5100000000093</v>
      </c>
    </row>
    <row r="117" spans="1:4" s="18" customFormat="1" ht="12.75">
      <c r="A117" s="4">
        <f t="shared" si="0"/>
        <v>87</v>
      </c>
      <c r="B117" s="16" t="s">
        <v>43</v>
      </c>
      <c r="C117" s="16" t="s">
        <v>9</v>
      </c>
      <c r="D117" s="17">
        <v>160684.41</v>
      </c>
    </row>
    <row r="118" spans="1:4" s="18" customFormat="1" ht="12.75">
      <c r="A118" s="4">
        <f t="shared" si="0"/>
        <v>88</v>
      </c>
      <c r="B118" s="16" t="s">
        <v>44</v>
      </c>
      <c r="C118" s="16" t="s">
        <v>9</v>
      </c>
      <c r="D118" s="17">
        <v>163917</v>
      </c>
    </row>
    <row r="119" spans="1:4" s="18" customFormat="1" ht="12.75">
      <c r="A119" s="4">
        <f t="shared" si="0"/>
        <v>89</v>
      </c>
      <c r="B119" s="16" t="s">
        <v>45</v>
      </c>
      <c r="C119" s="16" t="s">
        <v>9</v>
      </c>
      <c r="D119" s="17">
        <f>D118-D117</f>
        <v>3232.5899999999965</v>
      </c>
    </row>
    <row r="120" spans="1:4" s="18" customFormat="1" ht="25.5">
      <c r="A120" s="4">
        <f t="shared" si="0"/>
        <v>90</v>
      </c>
      <c r="B120" s="16" t="s">
        <v>46</v>
      </c>
      <c r="C120" s="16" t="s">
        <v>9</v>
      </c>
      <c r="D120" s="17">
        <v>0</v>
      </c>
    </row>
    <row r="121" spans="1:4" s="18" customFormat="1" ht="16.5" customHeight="1">
      <c r="A121" s="36" t="s">
        <v>47</v>
      </c>
      <c r="B121" s="37"/>
      <c r="C121" s="37"/>
      <c r="D121" s="38"/>
    </row>
    <row r="122" spans="1:4" s="18" customFormat="1" ht="12.75">
      <c r="A122" s="4">
        <v>91</v>
      </c>
      <c r="B122" s="16" t="s">
        <v>27</v>
      </c>
      <c r="C122" s="16" t="s">
        <v>28</v>
      </c>
      <c r="D122" s="17">
        <v>1</v>
      </c>
    </row>
    <row r="123" spans="1:4" s="18" customFormat="1" ht="12.75">
      <c r="A123" s="4">
        <v>92</v>
      </c>
      <c r="B123" s="16" t="s">
        <v>29</v>
      </c>
      <c r="C123" s="16" t="s">
        <v>28</v>
      </c>
      <c r="D123" s="17">
        <v>1</v>
      </c>
    </row>
    <row r="124" spans="1:4" s="18" customFormat="1" ht="12.75">
      <c r="A124" s="4">
        <v>93</v>
      </c>
      <c r="B124" s="16" t="s">
        <v>31</v>
      </c>
      <c r="C124" s="16"/>
      <c r="D124" s="17">
        <v>0</v>
      </c>
    </row>
    <row r="125" spans="1:4" s="18" customFormat="1" ht="12.75">
      <c r="A125" s="4">
        <v>94</v>
      </c>
      <c r="B125" s="16" t="s">
        <v>32</v>
      </c>
      <c r="C125" s="16" t="s">
        <v>9</v>
      </c>
      <c r="D125" s="17">
        <v>29</v>
      </c>
    </row>
    <row r="126" spans="1:4" s="18" customFormat="1" ht="21" customHeight="1">
      <c r="A126" s="36" t="s">
        <v>48</v>
      </c>
      <c r="B126" s="37"/>
      <c r="C126" s="37"/>
      <c r="D126" s="38"/>
    </row>
    <row r="127" spans="1:4" s="18" customFormat="1" ht="12.75">
      <c r="A127" s="4">
        <v>95</v>
      </c>
      <c r="B127" s="16" t="s">
        <v>49</v>
      </c>
      <c r="C127" s="16" t="s">
        <v>28</v>
      </c>
      <c r="D127" s="17">
        <v>0</v>
      </c>
    </row>
    <row r="128" spans="1:4" s="18" customFormat="1" ht="12.75">
      <c r="A128" s="4">
        <v>96</v>
      </c>
      <c r="B128" s="16" t="s">
        <v>50</v>
      </c>
      <c r="C128" s="16" t="s">
        <v>28</v>
      </c>
      <c r="D128" s="17">
        <v>0</v>
      </c>
    </row>
    <row r="129" spans="1:4" s="18" customFormat="1" ht="25.5">
      <c r="A129" s="4">
        <v>97</v>
      </c>
      <c r="B129" s="16" t="s">
        <v>51</v>
      </c>
      <c r="C129" s="16" t="s">
        <v>9</v>
      </c>
      <c r="D129" s="17">
        <v>0</v>
      </c>
    </row>
    <row r="130" spans="1:4" s="18" customFormat="1" ht="12.75">
      <c r="A130" s="21"/>
      <c r="B130" s="22"/>
      <c r="C130" s="22"/>
      <c r="D130" s="22"/>
    </row>
    <row r="131" spans="1:4" ht="15">
      <c r="A131" s="23"/>
      <c r="B131" s="24"/>
      <c r="C131" s="24"/>
      <c r="D131" s="24"/>
    </row>
    <row r="132" spans="1:4" ht="15">
      <c r="A132" s="23"/>
      <c r="B132" s="24"/>
      <c r="C132" s="24"/>
      <c r="D132" s="24"/>
    </row>
    <row r="133" spans="1:4" ht="15">
      <c r="A133" s="23"/>
      <c r="B133" s="24"/>
      <c r="C133" s="24"/>
      <c r="D133" s="24"/>
    </row>
    <row r="134" spans="1:4" ht="15">
      <c r="A134" s="23"/>
      <c r="B134" s="24"/>
      <c r="C134" s="24"/>
      <c r="D134" s="24"/>
    </row>
    <row r="135" spans="1:4" ht="15">
      <c r="A135" s="23"/>
      <c r="B135" s="24"/>
      <c r="C135" s="24"/>
      <c r="D135" s="24"/>
    </row>
    <row r="136" spans="1:4" ht="15">
      <c r="A136" s="23"/>
      <c r="B136" s="24"/>
      <c r="C136" s="24"/>
      <c r="D136" s="24"/>
    </row>
    <row r="137" spans="1:4" ht="15">
      <c r="A137" s="23"/>
      <c r="B137" s="24"/>
      <c r="C137" s="24"/>
      <c r="D137" s="24"/>
    </row>
    <row r="138" spans="1:4" ht="15">
      <c r="A138" s="23"/>
      <c r="B138" s="24"/>
      <c r="C138" s="24"/>
      <c r="D138" s="24"/>
    </row>
    <row r="139" spans="1:4" ht="15">
      <c r="A139" s="23"/>
      <c r="B139" s="24"/>
      <c r="C139" s="24"/>
      <c r="D139" s="24"/>
    </row>
    <row r="140" spans="1:4" ht="15">
      <c r="A140" s="23"/>
      <c r="B140" s="24"/>
      <c r="C140" s="24"/>
      <c r="D140" s="24"/>
    </row>
    <row r="141" spans="1:4" ht="15">
      <c r="A141" s="23"/>
      <c r="B141" s="24"/>
      <c r="C141" s="24"/>
      <c r="D141" s="24"/>
    </row>
    <row r="142" spans="1:4" ht="15">
      <c r="A142" s="23"/>
      <c r="B142" s="24"/>
      <c r="C142" s="24"/>
      <c r="D142" s="24"/>
    </row>
    <row r="143" spans="1:4" ht="15">
      <c r="A143" s="23"/>
      <c r="B143" s="24"/>
      <c r="C143" s="24"/>
      <c r="D143" s="24"/>
    </row>
    <row r="144" spans="1:4" ht="15">
      <c r="A144" s="23"/>
      <c r="B144" s="24"/>
      <c r="C144" s="24"/>
      <c r="D144" s="24"/>
    </row>
    <row r="145" spans="1:4" ht="15">
      <c r="A145" s="23"/>
      <c r="B145" s="24"/>
      <c r="C145" s="24"/>
      <c r="D145" s="24"/>
    </row>
    <row r="146" spans="1:4" ht="15">
      <c r="A146" s="23"/>
      <c r="B146" s="24"/>
      <c r="C146" s="24"/>
      <c r="D146" s="24"/>
    </row>
    <row r="147" spans="1:4" ht="15">
      <c r="A147" s="23"/>
      <c r="B147" s="24"/>
      <c r="C147" s="24"/>
      <c r="D147" s="24"/>
    </row>
    <row r="148" spans="1:4" ht="15">
      <c r="A148" s="23"/>
      <c r="B148" s="24"/>
      <c r="C148" s="24"/>
      <c r="D148" s="24"/>
    </row>
    <row r="149" spans="1:4" ht="15">
      <c r="A149" s="23"/>
      <c r="B149" s="24"/>
      <c r="C149" s="24"/>
      <c r="D149" s="24"/>
    </row>
    <row r="150" spans="1:4" ht="15">
      <c r="A150" s="23"/>
      <c r="B150" s="24"/>
      <c r="C150" s="24"/>
      <c r="D150" s="24"/>
    </row>
    <row r="151" spans="1:4" ht="15">
      <c r="A151" s="23"/>
      <c r="B151" s="24"/>
      <c r="C151" s="24"/>
      <c r="D151" s="24"/>
    </row>
    <row r="152" spans="1:4" ht="15">
      <c r="A152" s="23"/>
      <c r="B152" s="24"/>
      <c r="C152" s="24"/>
      <c r="D152" s="24"/>
    </row>
    <row r="153" spans="1:4" ht="15">
      <c r="A153" s="23"/>
      <c r="B153" s="24"/>
      <c r="C153" s="24"/>
      <c r="D153" s="24"/>
    </row>
    <row r="154" spans="1:4" ht="15">
      <c r="A154" s="23"/>
      <c r="B154" s="24"/>
      <c r="C154" s="24"/>
      <c r="D154" s="24"/>
    </row>
    <row r="155" spans="1:4" ht="15">
      <c r="A155" s="23"/>
      <c r="B155" s="24"/>
      <c r="C155" s="24"/>
      <c r="D155" s="24"/>
    </row>
    <row r="156" spans="1:4" ht="15">
      <c r="A156" s="23"/>
      <c r="B156" s="24"/>
      <c r="C156" s="24"/>
      <c r="D156" s="24"/>
    </row>
    <row r="157" spans="1:4" ht="15">
      <c r="A157" s="23"/>
      <c r="B157" s="24"/>
      <c r="C157" s="24"/>
      <c r="D157" s="24"/>
    </row>
  </sheetData>
  <sheetProtection/>
  <mergeCells count="8">
    <mergeCell ref="A121:D121"/>
    <mergeCell ref="A126:D126"/>
    <mergeCell ref="A1:D1"/>
    <mergeCell ref="A7:D7"/>
    <mergeCell ref="A25:D25"/>
    <mergeCell ref="A58:D58"/>
    <mergeCell ref="A63:D63"/>
    <mergeCell ref="A70:D70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25">
      <selection activeCell="D31" sqref="D31"/>
    </sheetView>
  </sheetViews>
  <sheetFormatPr defaultColWidth="9.140625" defaultRowHeight="15"/>
  <cols>
    <col min="1" max="1" width="6.28125" style="25" customWidth="1"/>
    <col min="2" max="2" width="51.421875" style="1" customWidth="1"/>
    <col min="3" max="3" width="9.140625" style="1" customWidth="1"/>
    <col min="4" max="4" width="15.7109375" style="1" customWidth="1"/>
    <col min="5" max="5" width="9.140625" style="1" customWidth="1"/>
    <col min="6" max="6" width="10.28125" style="1" bestFit="1" customWidth="1"/>
    <col min="7" max="16384" width="9.140625" style="1" customWidth="1"/>
  </cols>
  <sheetData>
    <row r="1" spans="1:4" ht="33.75" customHeight="1">
      <c r="A1" s="39" t="s">
        <v>102</v>
      </c>
      <c r="B1" s="39"/>
      <c r="C1" s="39"/>
      <c r="D1" s="39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2.75">
      <c r="A4" s="4">
        <v>1</v>
      </c>
      <c r="B4" s="5" t="s">
        <v>4</v>
      </c>
      <c r="C4" s="4" t="s">
        <v>57</v>
      </c>
      <c r="D4" s="6">
        <v>42825</v>
      </c>
    </row>
    <row r="5" spans="1:4" s="7" customFormat="1" ht="12.75">
      <c r="A5" s="4">
        <v>2</v>
      </c>
      <c r="B5" s="5" t="s">
        <v>5</v>
      </c>
      <c r="C5" s="4" t="s">
        <v>57</v>
      </c>
      <c r="D5" s="6">
        <v>42370</v>
      </c>
    </row>
    <row r="6" spans="1:4" s="7" customFormat="1" ht="12.75">
      <c r="A6" s="4">
        <v>3</v>
      </c>
      <c r="B6" s="5" t="s">
        <v>6</v>
      </c>
      <c r="C6" s="4" t="s">
        <v>57</v>
      </c>
      <c r="D6" s="6">
        <v>42735</v>
      </c>
    </row>
    <row r="7" spans="1:4" s="7" customFormat="1" ht="27.75" customHeight="1">
      <c r="A7" s="36" t="s">
        <v>7</v>
      </c>
      <c r="B7" s="37"/>
      <c r="C7" s="37"/>
      <c r="D7" s="38"/>
    </row>
    <row r="8" spans="1:4" s="7" customFormat="1" ht="12.75">
      <c r="A8" s="4">
        <v>4</v>
      </c>
      <c r="B8" s="5" t="s">
        <v>8</v>
      </c>
      <c r="C8" s="5" t="s">
        <v>9</v>
      </c>
      <c r="D8" s="4">
        <f>D10-D9</f>
        <v>364294.3499999999</v>
      </c>
    </row>
    <row r="9" spans="1:4" s="7" customFormat="1" ht="12.75">
      <c r="A9" s="4">
        <v>5</v>
      </c>
      <c r="B9" s="5" t="s">
        <v>10</v>
      </c>
      <c r="C9" s="5" t="s">
        <v>9</v>
      </c>
      <c r="D9" s="9">
        <f>155.78+1.36+3.24+1637.72+14.19+79.54+90.78+433.7+34.47</f>
        <v>2450.7799999999997</v>
      </c>
    </row>
    <row r="10" spans="1:4" s="7" customFormat="1" ht="12.75">
      <c r="A10" s="4">
        <v>6</v>
      </c>
      <c r="B10" s="5" t="s">
        <v>11</v>
      </c>
      <c r="C10" s="5" t="s">
        <v>9</v>
      </c>
      <c r="D10" s="9">
        <f>0.24+265725.67+2312.75+8762.66+14677.31+69965.43+5301.07</f>
        <v>366745.12999999995</v>
      </c>
    </row>
    <row r="11" spans="1:4" s="7" customFormat="1" ht="25.5">
      <c r="A11" s="4">
        <v>7</v>
      </c>
      <c r="B11" s="5" t="s">
        <v>12</v>
      </c>
      <c r="C11" s="5"/>
      <c r="D11" s="8">
        <f>155.78+1.36+3.24+2040032.68+16426.57+80120+98545.59+423321.67+13284+40474.03+302415</f>
        <v>3014779.9199999995</v>
      </c>
    </row>
    <row r="12" spans="1:4" s="7" customFormat="1" ht="12.75">
      <c r="A12" s="4">
        <v>8</v>
      </c>
      <c r="B12" s="5" t="s">
        <v>13</v>
      </c>
      <c r="C12" s="5" t="s">
        <v>9</v>
      </c>
      <c r="D12" s="8">
        <f>D11-D14</f>
        <v>2387034.9199999995</v>
      </c>
    </row>
    <row r="13" spans="1:4" s="7" customFormat="1" ht="12.75">
      <c r="A13" s="4">
        <v>9</v>
      </c>
      <c r="B13" s="5" t="s">
        <v>14</v>
      </c>
      <c r="C13" s="5" t="s">
        <v>9</v>
      </c>
      <c r="D13" s="8">
        <v>0</v>
      </c>
    </row>
    <row r="14" spans="1:4" s="7" customFormat="1" ht="12.75">
      <c r="A14" s="4">
        <v>10</v>
      </c>
      <c r="B14" s="5" t="s">
        <v>15</v>
      </c>
      <c r="C14" s="5" t="s">
        <v>9</v>
      </c>
      <c r="D14" s="8">
        <v>627745</v>
      </c>
    </row>
    <row r="15" spans="1:4" s="7" customFormat="1" ht="12.75">
      <c r="A15" s="4">
        <v>11</v>
      </c>
      <c r="B15" s="5" t="s">
        <v>16</v>
      </c>
      <c r="C15" s="5" t="s">
        <v>9</v>
      </c>
      <c r="D15" s="8">
        <f>SUM(D16:D20)</f>
        <v>2686380.85</v>
      </c>
    </row>
    <row r="16" spans="1:4" s="7" customFormat="1" ht="12.75">
      <c r="A16" s="4">
        <v>12</v>
      </c>
      <c r="B16" s="5" t="s">
        <v>17</v>
      </c>
      <c r="C16" s="5" t="s">
        <v>9</v>
      </c>
      <c r="D16" s="8">
        <f>0.24+2008807.28+16385.75+78173.27+99097.39+433761.09+10244.88+39910.95</f>
        <v>2686380.85</v>
      </c>
    </row>
    <row r="17" spans="1:4" s="7" customFormat="1" ht="12.75">
      <c r="A17" s="4">
        <v>13</v>
      </c>
      <c r="B17" s="5" t="s">
        <v>18</v>
      </c>
      <c r="C17" s="5" t="s">
        <v>9</v>
      </c>
      <c r="D17" s="8">
        <v>0</v>
      </c>
    </row>
    <row r="18" spans="1:4" s="7" customFormat="1" ht="12.75">
      <c r="A18" s="4">
        <v>14</v>
      </c>
      <c r="B18" s="5" t="s">
        <v>19</v>
      </c>
      <c r="C18" s="5" t="s">
        <v>9</v>
      </c>
      <c r="D18" s="8">
        <v>0</v>
      </c>
    </row>
    <row r="19" spans="1:4" s="7" customFormat="1" ht="12.75">
      <c r="A19" s="4">
        <v>15</v>
      </c>
      <c r="B19" s="5" t="s">
        <v>20</v>
      </c>
      <c r="C19" s="5" t="s">
        <v>9</v>
      </c>
      <c r="D19" s="8">
        <v>0</v>
      </c>
    </row>
    <row r="20" spans="1:4" s="7" customFormat="1" ht="12.75">
      <c r="A20" s="4">
        <v>16</v>
      </c>
      <c r="B20" s="5" t="s">
        <v>21</v>
      </c>
      <c r="C20" s="5" t="s">
        <v>9</v>
      </c>
      <c r="D20" s="8">
        <v>0</v>
      </c>
    </row>
    <row r="21" spans="1:4" s="7" customFormat="1" ht="12.75">
      <c r="A21" s="4">
        <v>17</v>
      </c>
      <c r="B21" s="5" t="s">
        <v>22</v>
      </c>
      <c r="C21" s="5" t="s">
        <v>9</v>
      </c>
      <c r="D21" s="8">
        <f>D8+D15</f>
        <v>3050675.2</v>
      </c>
    </row>
    <row r="22" spans="1:4" s="7" customFormat="1" ht="12.75">
      <c r="A22" s="4">
        <v>18</v>
      </c>
      <c r="B22" s="5" t="s">
        <v>23</v>
      </c>
      <c r="C22" s="5" t="s">
        <v>9</v>
      </c>
      <c r="D22" s="8">
        <f>D24-D23</f>
        <v>390278.42</v>
      </c>
    </row>
    <row r="23" spans="1:4" s="7" customFormat="1" ht="12.75">
      <c r="A23" s="4">
        <v>19</v>
      </c>
      <c r="B23" s="5" t="s">
        <v>10</v>
      </c>
      <c r="C23" s="5" t="s">
        <v>9</v>
      </c>
      <c r="D23" s="9">
        <f>4967.07+38.84+232.6+232.98+970.69+32.98+97.06</f>
        <v>6572.22</v>
      </c>
    </row>
    <row r="24" spans="1:4" s="7" customFormat="1" ht="12.75">
      <c r="A24" s="4">
        <v>20</v>
      </c>
      <c r="B24" s="5" t="s">
        <v>11</v>
      </c>
      <c r="C24" s="5" t="s">
        <v>9</v>
      </c>
      <c r="D24" s="9">
        <f>300280.42+2378.22+10862.45+14267.71+60063+3072.1+5926.74</f>
        <v>396850.63999999996</v>
      </c>
    </row>
    <row r="25" spans="1:4" s="7" customFormat="1" ht="26.25" customHeight="1">
      <c r="A25" s="36" t="s">
        <v>24</v>
      </c>
      <c r="B25" s="37"/>
      <c r="C25" s="37"/>
      <c r="D25" s="38"/>
    </row>
    <row r="26" spans="1:4" s="7" customFormat="1" ht="31.5" customHeight="1">
      <c r="A26" s="4">
        <v>21</v>
      </c>
      <c r="B26" s="5" t="s">
        <v>62</v>
      </c>
      <c r="C26" s="5" t="s">
        <v>9</v>
      </c>
      <c r="D26" s="8">
        <v>160895</v>
      </c>
    </row>
    <row r="27" spans="1:4" s="7" customFormat="1" ht="19.5" customHeight="1">
      <c r="A27" s="4"/>
      <c r="B27" s="5" t="s">
        <v>63</v>
      </c>
      <c r="C27" s="5" t="s">
        <v>65</v>
      </c>
      <c r="D27" s="34">
        <f>D26/12/11309.1</f>
        <v>1.1855865335585207</v>
      </c>
    </row>
    <row r="28" spans="1:4" s="7" customFormat="1" ht="14.25" customHeight="1">
      <c r="A28" s="4"/>
      <c r="B28" s="5" t="s">
        <v>25</v>
      </c>
      <c r="C28" s="5"/>
      <c r="D28" s="4" t="s">
        <v>64</v>
      </c>
    </row>
    <row r="29" spans="1:4" s="7" customFormat="1" ht="26.25" customHeight="1">
      <c r="A29" s="4">
        <v>22</v>
      </c>
      <c r="B29" s="5" t="s">
        <v>66</v>
      </c>
      <c r="C29" s="5" t="s">
        <v>9</v>
      </c>
      <c r="D29" s="8">
        <v>399304</v>
      </c>
    </row>
    <row r="30" spans="1:4" s="7" customFormat="1" ht="14.25" customHeight="1">
      <c r="A30" s="4"/>
      <c r="B30" s="10" t="s">
        <v>67</v>
      </c>
      <c r="C30" s="5" t="s">
        <v>65</v>
      </c>
      <c r="D30" s="11">
        <v>3.5</v>
      </c>
    </row>
    <row r="31" spans="1:4" s="7" customFormat="1" ht="14.25" customHeight="1">
      <c r="A31" s="12"/>
      <c r="B31" s="5" t="s">
        <v>25</v>
      </c>
      <c r="C31" s="5"/>
      <c r="D31" s="4" t="s">
        <v>68</v>
      </c>
    </row>
    <row r="32" spans="1:4" s="7" customFormat="1" ht="26.25" customHeight="1">
      <c r="A32" s="4">
        <v>23</v>
      </c>
      <c r="B32" s="5" t="s">
        <v>69</v>
      </c>
      <c r="C32" s="5" t="s">
        <v>9</v>
      </c>
      <c r="D32" s="8">
        <v>13888</v>
      </c>
    </row>
    <row r="33" spans="1:4" s="7" customFormat="1" ht="14.25" customHeight="1">
      <c r="A33" s="4"/>
      <c r="B33" s="10" t="s">
        <v>70</v>
      </c>
      <c r="C33" s="5" t="s">
        <v>65</v>
      </c>
      <c r="D33" s="13">
        <v>0.14</v>
      </c>
    </row>
    <row r="34" spans="1:4" s="7" customFormat="1" ht="14.25" customHeight="1">
      <c r="A34" s="12"/>
      <c r="B34" s="5" t="s">
        <v>25</v>
      </c>
      <c r="C34" s="5"/>
      <c r="D34" s="4" t="s">
        <v>71</v>
      </c>
    </row>
    <row r="35" spans="1:4" s="7" customFormat="1" ht="43.5" customHeight="1">
      <c r="A35" s="4">
        <v>24</v>
      </c>
      <c r="B35" s="5" t="s">
        <v>90</v>
      </c>
      <c r="C35" s="5" t="s">
        <v>9</v>
      </c>
      <c r="D35" s="8">
        <f>352155+44022</f>
        <v>396177</v>
      </c>
    </row>
    <row r="36" spans="1:4" s="7" customFormat="1" ht="14.25" customHeight="1">
      <c r="A36" s="4"/>
      <c r="B36" s="10" t="s">
        <v>72</v>
      </c>
      <c r="C36" s="5" t="s">
        <v>65</v>
      </c>
      <c r="D36" s="11">
        <f>352155/12/11309.1</f>
        <v>2.594923557135404</v>
      </c>
    </row>
    <row r="37" spans="1:4" s="7" customFormat="1" ht="14.25" customHeight="1">
      <c r="A37" s="12"/>
      <c r="B37" s="5" t="s">
        <v>25</v>
      </c>
      <c r="C37" s="5"/>
      <c r="D37" s="4" t="s">
        <v>73</v>
      </c>
    </row>
    <row r="38" spans="1:4" s="7" customFormat="1" ht="14.25" customHeight="1">
      <c r="A38" s="4"/>
      <c r="B38" s="10" t="s">
        <v>74</v>
      </c>
      <c r="C38" s="5" t="s">
        <v>65</v>
      </c>
      <c r="D38" s="11">
        <f>44022/12/11309.1</f>
        <v>0.3243847874720358</v>
      </c>
    </row>
    <row r="39" spans="1:4" s="7" customFormat="1" ht="14.25" customHeight="1">
      <c r="A39" s="12"/>
      <c r="B39" s="5" t="s">
        <v>25</v>
      </c>
      <c r="C39" s="5"/>
      <c r="D39" s="4" t="s">
        <v>73</v>
      </c>
    </row>
    <row r="40" spans="1:4" s="7" customFormat="1" ht="40.5" customHeight="1">
      <c r="A40" s="4">
        <v>25</v>
      </c>
      <c r="B40" s="5" t="s">
        <v>75</v>
      </c>
      <c r="C40" s="5" t="s">
        <v>9</v>
      </c>
      <c r="D40" s="8">
        <f>197275+47760</f>
        <v>245035</v>
      </c>
    </row>
    <row r="41" spans="1:4" s="7" customFormat="1" ht="14.25" customHeight="1">
      <c r="A41" s="4"/>
      <c r="B41" s="10" t="s">
        <v>76</v>
      </c>
      <c r="C41" s="5" t="s">
        <v>65</v>
      </c>
      <c r="D41" s="11">
        <f>47760/12/11309.1</f>
        <v>0.3519289775490534</v>
      </c>
    </row>
    <row r="42" spans="1:4" s="7" customFormat="1" ht="14.25" customHeight="1">
      <c r="A42" s="12"/>
      <c r="B42" s="5" t="s">
        <v>25</v>
      </c>
      <c r="C42" s="5"/>
      <c r="D42" s="4" t="s">
        <v>73</v>
      </c>
    </row>
    <row r="43" spans="1:4" s="7" customFormat="1" ht="27" customHeight="1">
      <c r="A43" s="4"/>
      <c r="B43" s="10" t="s">
        <v>92</v>
      </c>
      <c r="C43" s="5" t="s">
        <v>65</v>
      </c>
      <c r="D43" s="11">
        <f>197275/12/11309.1</f>
        <v>1.4536597371438338</v>
      </c>
    </row>
    <row r="44" spans="1:4" s="7" customFormat="1" ht="14.25" customHeight="1">
      <c r="A44" s="12"/>
      <c r="B44" s="5" t="s">
        <v>25</v>
      </c>
      <c r="C44" s="5"/>
      <c r="D44" s="4" t="s">
        <v>73</v>
      </c>
    </row>
    <row r="45" spans="1:4" s="7" customFormat="1" ht="54" customHeight="1">
      <c r="A45" s="4">
        <v>26</v>
      </c>
      <c r="B45" s="5" t="s">
        <v>77</v>
      </c>
      <c r="C45" s="5" t="s">
        <v>9</v>
      </c>
      <c r="D45" s="8">
        <v>528690</v>
      </c>
    </row>
    <row r="46" spans="1:4" s="7" customFormat="1" ht="14.25" customHeight="1">
      <c r="A46" s="4"/>
      <c r="B46" s="10" t="s">
        <v>78</v>
      </c>
      <c r="C46" s="5" t="s">
        <v>65</v>
      </c>
      <c r="D46" s="11">
        <f>D45/12/11309.1</f>
        <v>3.895756514665181</v>
      </c>
    </row>
    <row r="47" spans="1:4" s="7" customFormat="1" ht="14.25" customHeight="1">
      <c r="A47" s="12"/>
      <c r="B47" s="5" t="s">
        <v>25</v>
      </c>
      <c r="C47" s="5"/>
      <c r="D47" s="4" t="s">
        <v>68</v>
      </c>
    </row>
    <row r="48" spans="1:4" s="7" customFormat="1" ht="16.5" customHeight="1">
      <c r="A48" s="4">
        <v>27</v>
      </c>
      <c r="B48" s="5" t="s">
        <v>79</v>
      </c>
      <c r="C48" s="5" t="s">
        <v>9</v>
      </c>
      <c r="D48" s="8">
        <v>176810</v>
      </c>
    </row>
    <row r="49" spans="1:4" s="7" customFormat="1" ht="14.25" customHeight="1">
      <c r="A49" s="4"/>
      <c r="B49" s="10" t="s">
        <v>80</v>
      </c>
      <c r="C49" s="5" t="s">
        <v>65</v>
      </c>
      <c r="D49" s="11">
        <f>D48/12/11309.1</f>
        <v>1.3028593492556142</v>
      </c>
    </row>
    <row r="50" spans="1:4" s="7" customFormat="1" ht="14.25" customHeight="1">
      <c r="A50" s="12"/>
      <c r="B50" s="5" t="s">
        <v>25</v>
      </c>
      <c r="C50" s="5"/>
      <c r="D50" s="4" t="s">
        <v>81</v>
      </c>
    </row>
    <row r="51" spans="1:4" s="7" customFormat="1" ht="27" customHeight="1">
      <c r="A51" s="4">
        <v>28</v>
      </c>
      <c r="B51" s="5" t="s">
        <v>82</v>
      </c>
      <c r="C51" s="5" t="s">
        <v>9</v>
      </c>
      <c r="D51" s="8">
        <v>316051</v>
      </c>
    </row>
    <row r="52" spans="1:4" s="7" customFormat="1" ht="14.25" customHeight="1">
      <c r="A52" s="4"/>
      <c r="B52" s="10" t="s">
        <v>83</v>
      </c>
      <c r="C52" s="5" t="s">
        <v>65</v>
      </c>
      <c r="D52" s="11">
        <f>D51/12/11309.1</f>
        <v>2.328884113973113</v>
      </c>
    </row>
    <row r="53" spans="1:4" s="7" customFormat="1" ht="14.25" customHeight="1">
      <c r="A53" s="12"/>
      <c r="B53" s="5" t="s">
        <v>25</v>
      </c>
      <c r="C53" s="5"/>
      <c r="D53" s="4" t="s">
        <v>68</v>
      </c>
    </row>
    <row r="54" spans="1:4" s="7" customFormat="1" ht="29.25" customHeight="1">
      <c r="A54" s="4">
        <v>29</v>
      </c>
      <c r="B54" s="5" t="s">
        <v>84</v>
      </c>
      <c r="C54" s="5" t="s">
        <v>9</v>
      </c>
      <c r="D54" s="8">
        <v>606980</v>
      </c>
    </row>
    <row r="55" spans="1:4" s="7" customFormat="1" ht="14.25" customHeight="1">
      <c r="A55" s="4"/>
      <c r="B55" s="10" t="s">
        <v>85</v>
      </c>
      <c r="C55" s="5" t="s">
        <v>65</v>
      </c>
      <c r="D55" s="11">
        <f>D54/12/11309.1</f>
        <v>4.472651817268099</v>
      </c>
    </row>
    <row r="56" spans="1:4" s="7" customFormat="1" ht="14.25" customHeight="1">
      <c r="A56" s="12"/>
      <c r="B56" s="5" t="s">
        <v>25</v>
      </c>
      <c r="C56" s="5"/>
      <c r="D56" s="4" t="s">
        <v>73</v>
      </c>
    </row>
    <row r="57" spans="1:4" s="7" customFormat="1" ht="29.25" customHeight="1">
      <c r="A57" s="4">
        <v>30</v>
      </c>
      <c r="B57" s="5" t="s">
        <v>86</v>
      </c>
      <c r="C57" s="5" t="s">
        <v>9</v>
      </c>
      <c r="D57" s="8">
        <v>57573</v>
      </c>
    </row>
    <row r="58" spans="1:4" s="7" customFormat="1" ht="14.25" customHeight="1">
      <c r="A58" s="4"/>
      <c r="B58" s="10" t="s">
        <v>87</v>
      </c>
      <c r="C58" s="5" t="s">
        <v>65</v>
      </c>
      <c r="D58" s="11">
        <f>D57/12/11309.1</f>
        <v>0.4242380030241133</v>
      </c>
    </row>
    <row r="59" spans="1:4" s="7" customFormat="1" ht="29.25" customHeight="1">
      <c r="A59" s="12"/>
      <c r="B59" s="5" t="s">
        <v>25</v>
      </c>
      <c r="C59" s="5"/>
      <c r="D59" s="4" t="s">
        <v>88</v>
      </c>
    </row>
    <row r="60" spans="1:4" s="7" customFormat="1" ht="16.5" customHeight="1">
      <c r="A60" s="36" t="s">
        <v>26</v>
      </c>
      <c r="B60" s="37"/>
      <c r="C60" s="37"/>
      <c r="D60" s="38"/>
    </row>
    <row r="61" spans="1:4" s="7" customFormat="1" ht="14.25" customHeight="1">
      <c r="A61" s="4">
        <v>31</v>
      </c>
      <c r="B61" s="5" t="s">
        <v>27</v>
      </c>
      <c r="C61" s="5" t="s">
        <v>28</v>
      </c>
      <c r="D61" s="4">
        <v>0</v>
      </c>
    </row>
    <row r="62" spans="1:4" s="7" customFormat="1" ht="14.25" customHeight="1">
      <c r="A62" s="4">
        <v>32</v>
      </c>
      <c r="B62" s="5" t="s">
        <v>29</v>
      </c>
      <c r="C62" s="5" t="s">
        <v>30</v>
      </c>
      <c r="D62" s="4">
        <v>0</v>
      </c>
    </row>
    <row r="63" spans="1:4" s="7" customFormat="1" ht="14.25" customHeight="1">
      <c r="A63" s="4">
        <v>33</v>
      </c>
      <c r="B63" s="5" t="s">
        <v>31</v>
      </c>
      <c r="C63" s="5" t="s">
        <v>28</v>
      </c>
      <c r="D63" s="4">
        <v>0</v>
      </c>
    </row>
    <row r="64" spans="1:4" s="7" customFormat="1" ht="14.25" customHeight="1">
      <c r="A64" s="4">
        <v>34</v>
      </c>
      <c r="B64" s="5" t="s">
        <v>32</v>
      </c>
      <c r="C64" s="5" t="s">
        <v>9</v>
      </c>
      <c r="D64" s="4">
        <v>0</v>
      </c>
    </row>
    <row r="65" spans="1:4" s="7" customFormat="1" ht="17.25" customHeight="1">
      <c r="A65" s="36" t="s">
        <v>33</v>
      </c>
      <c r="B65" s="37"/>
      <c r="C65" s="37"/>
      <c r="D65" s="38"/>
    </row>
    <row r="66" spans="1:4" s="7" customFormat="1" ht="25.5">
      <c r="A66" s="4">
        <v>35</v>
      </c>
      <c r="B66" s="5" t="s">
        <v>34</v>
      </c>
      <c r="C66" s="5" t="s">
        <v>9</v>
      </c>
      <c r="D66" s="4">
        <f>D67+D68</f>
        <v>360925.80999999994</v>
      </c>
    </row>
    <row r="67" spans="1:4" s="7" customFormat="1" ht="15" customHeight="1">
      <c r="A67" s="4">
        <v>36</v>
      </c>
      <c r="B67" s="5" t="s">
        <v>10</v>
      </c>
      <c r="C67" s="5" t="s">
        <v>9</v>
      </c>
      <c r="D67" s="8">
        <f>1516.83+1461.66+1192.51+3436.54+2076.76</f>
        <v>9684.3</v>
      </c>
    </row>
    <row r="68" spans="1:4" s="7" customFormat="1" ht="15" customHeight="1">
      <c r="A68" s="4">
        <v>37</v>
      </c>
      <c r="B68" s="5" t="s">
        <v>11</v>
      </c>
      <c r="C68" s="5" t="s">
        <v>9</v>
      </c>
      <c r="D68" s="8">
        <f>271616.47+14247.88+12288.85+15705.68+46112.63-8730</f>
        <v>351241.50999999995</v>
      </c>
    </row>
    <row r="69" spans="1:4" s="7" customFormat="1" ht="25.5">
      <c r="A69" s="4">
        <v>38</v>
      </c>
      <c r="B69" s="5" t="s">
        <v>35</v>
      </c>
      <c r="C69" s="5" t="s">
        <v>9</v>
      </c>
      <c r="D69" s="8">
        <f>D71-D70</f>
        <v>420661.7</v>
      </c>
    </row>
    <row r="70" spans="1:5" s="7" customFormat="1" ht="13.5" customHeight="1">
      <c r="A70" s="4">
        <v>39</v>
      </c>
      <c r="B70" s="5" t="s">
        <v>10</v>
      </c>
      <c r="C70" s="5" t="s">
        <v>9</v>
      </c>
      <c r="D70" s="8">
        <f>4833.24+692.79+497.35+1959.28+1489.25</f>
        <v>9471.91</v>
      </c>
      <c r="E70" s="14"/>
    </row>
    <row r="71" spans="1:5" s="7" customFormat="1" ht="13.5" customHeight="1">
      <c r="A71" s="4">
        <v>40</v>
      </c>
      <c r="B71" s="5" t="s">
        <v>11</v>
      </c>
      <c r="C71" s="5" t="s">
        <v>9</v>
      </c>
      <c r="D71" s="8">
        <f>294746.91+25340.24+21157.23+25779.15+63110.08</f>
        <v>430133.61</v>
      </c>
      <c r="E71" s="14"/>
    </row>
    <row r="72" spans="1:4" s="7" customFormat="1" ht="18" customHeight="1">
      <c r="A72" s="36" t="s">
        <v>52</v>
      </c>
      <c r="B72" s="37"/>
      <c r="C72" s="37"/>
      <c r="D72" s="38"/>
    </row>
    <row r="73" spans="1:4" s="7" customFormat="1" ht="19.5" customHeight="1">
      <c r="A73" s="4">
        <v>41</v>
      </c>
      <c r="B73" s="5" t="s">
        <v>36</v>
      </c>
      <c r="C73" s="5"/>
      <c r="D73" s="15" t="s">
        <v>53</v>
      </c>
    </row>
    <row r="74" spans="1:4" s="7" customFormat="1" ht="12.75">
      <c r="A74" s="4">
        <v>42</v>
      </c>
      <c r="B74" s="5" t="s">
        <v>37</v>
      </c>
      <c r="C74" s="5"/>
      <c r="D74" s="4" t="s">
        <v>59</v>
      </c>
    </row>
    <row r="75" spans="1:4" s="7" customFormat="1" ht="12.75">
      <c r="A75" s="4">
        <v>43</v>
      </c>
      <c r="B75" s="5" t="s">
        <v>38</v>
      </c>
      <c r="C75" s="5" t="s">
        <v>39</v>
      </c>
      <c r="D75" s="4">
        <f>(27.418+28.049+26.547+22.789+28.315+25.005+29.895+25.511+27.281+27.108+33.289+29.061)*1000</f>
        <v>330268</v>
      </c>
    </row>
    <row r="76" spans="1:4" s="7" customFormat="1" ht="12.75">
      <c r="A76" s="4">
        <v>44</v>
      </c>
      <c r="B76" s="5" t="s">
        <v>40</v>
      </c>
      <c r="C76" s="5" t="s">
        <v>9</v>
      </c>
      <c r="D76" s="8">
        <v>499843.83</v>
      </c>
    </row>
    <row r="77" spans="1:4" s="7" customFormat="1" ht="12.75">
      <c r="A77" s="4">
        <v>45</v>
      </c>
      <c r="B77" s="5" t="s">
        <v>41</v>
      </c>
      <c r="C77" s="5" t="s">
        <v>9</v>
      </c>
      <c r="D77" s="8">
        <v>482258.87</v>
      </c>
    </row>
    <row r="78" spans="1:4" s="7" customFormat="1" ht="12.75">
      <c r="A78" s="4">
        <v>46</v>
      </c>
      <c r="B78" s="5" t="s">
        <v>42</v>
      </c>
      <c r="C78" s="5" t="s">
        <v>9</v>
      </c>
      <c r="D78" s="8">
        <f>D76-D77</f>
        <v>17584.96000000002</v>
      </c>
    </row>
    <row r="79" spans="1:6" s="18" customFormat="1" ht="12.75">
      <c r="A79" s="4">
        <v>47</v>
      </c>
      <c r="B79" s="16" t="s">
        <v>43</v>
      </c>
      <c r="C79" s="16" t="s">
        <v>9</v>
      </c>
      <c r="D79" s="17">
        <f>533755.32+296740.6</f>
        <v>830495.9199999999</v>
      </c>
      <c r="F79" s="29"/>
    </row>
    <row r="80" spans="1:6" s="18" customFormat="1" ht="12.75">
      <c r="A80" s="4">
        <v>48</v>
      </c>
      <c r="B80" s="16" t="s">
        <v>44</v>
      </c>
      <c r="C80" s="16" t="s">
        <v>9</v>
      </c>
      <c r="D80" s="17">
        <v>836013</v>
      </c>
      <c r="F80" s="30"/>
    </row>
    <row r="81" spans="1:6" s="18" customFormat="1" ht="12.75">
      <c r="A81" s="4">
        <v>49</v>
      </c>
      <c r="B81" s="16" t="s">
        <v>45</v>
      </c>
      <c r="C81" s="16" t="s">
        <v>9</v>
      </c>
      <c r="D81" s="17">
        <f>D80-D79</f>
        <v>5517.0800000000745</v>
      </c>
      <c r="F81" s="29"/>
    </row>
    <row r="82" spans="1:6" s="18" customFormat="1" ht="25.5">
      <c r="A82" s="4">
        <v>50</v>
      </c>
      <c r="B82" s="16" t="s">
        <v>46</v>
      </c>
      <c r="C82" s="16" t="s">
        <v>9</v>
      </c>
      <c r="D82" s="19">
        <v>0</v>
      </c>
      <c r="F82" s="29"/>
    </row>
    <row r="83" spans="1:6" s="7" customFormat="1" ht="24">
      <c r="A83" s="4">
        <v>51</v>
      </c>
      <c r="B83" s="5" t="s">
        <v>36</v>
      </c>
      <c r="C83" s="5"/>
      <c r="D83" s="15" t="s">
        <v>54</v>
      </c>
      <c r="F83" s="31"/>
    </row>
    <row r="84" spans="1:6" s="7" customFormat="1" ht="12.75">
      <c r="A84" s="4">
        <v>52</v>
      </c>
      <c r="B84" s="5" t="s">
        <v>37</v>
      </c>
      <c r="C84" s="5"/>
      <c r="D84" s="4" t="s">
        <v>60</v>
      </c>
      <c r="F84" s="31"/>
    </row>
    <row r="85" spans="1:6" s="7" customFormat="1" ht="12.75">
      <c r="A85" s="4">
        <v>53</v>
      </c>
      <c r="B85" s="5" t="s">
        <v>38</v>
      </c>
      <c r="C85" s="5" t="s">
        <v>39</v>
      </c>
      <c r="D85" s="33">
        <f>745.236+39+98.764+103.694+834.306+38+61.32+952.68+57+180.036+860.964+51+93.292+1072.708+54+81.35+1067.65+86+118.45+1368.57+86+100.772+999.228+50+93.6+1146.4+105+74.88+1141.12+38+70.78+1236.22+60+74.13+1335.87+45+59.34+1254.66+53</f>
        <v>15988.019999999997</v>
      </c>
      <c r="F85" s="31"/>
    </row>
    <row r="86" spans="1:6" s="7" customFormat="1" ht="12.75">
      <c r="A86" s="4">
        <v>54</v>
      </c>
      <c r="B86" s="5" t="s">
        <v>40</v>
      </c>
      <c r="C86" s="5" t="s">
        <v>9</v>
      </c>
      <c r="D86" s="8">
        <v>235440.14</v>
      </c>
      <c r="F86" s="31"/>
    </row>
    <row r="87" spans="1:6" s="7" customFormat="1" ht="12.75">
      <c r="A87" s="4">
        <v>55</v>
      </c>
      <c r="B87" s="5" t="s">
        <v>41</v>
      </c>
      <c r="C87" s="5" t="s">
        <v>9</v>
      </c>
      <c r="D87" s="8">
        <v>223578.91</v>
      </c>
      <c r="F87" s="31"/>
    </row>
    <row r="88" spans="1:6" s="7" customFormat="1" ht="12.75">
      <c r="A88" s="4">
        <v>56</v>
      </c>
      <c r="B88" s="5" t="s">
        <v>42</v>
      </c>
      <c r="C88" s="5" t="s">
        <v>9</v>
      </c>
      <c r="D88" s="8">
        <f>D86-D87</f>
        <v>11861.23000000001</v>
      </c>
      <c r="F88" s="32"/>
    </row>
    <row r="89" spans="1:6" s="18" customFormat="1" ht="12.75">
      <c r="A89" s="4">
        <v>57</v>
      </c>
      <c r="B89" s="16" t="s">
        <v>43</v>
      </c>
      <c r="C89" s="16" t="s">
        <v>9</v>
      </c>
      <c r="D89" s="17">
        <f>390414.23+19475.59</f>
        <v>409889.82</v>
      </c>
      <c r="F89" s="30"/>
    </row>
    <row r="90" spans="1:4" s="18" customFormat="1" ht="12.75">
      <c r="A90" s="4">
        <v>58</v>
      </c>
      <c r="B90" s="16" t="s">
        <v>44</v>
      </c>
      <c r="C90" s="16" t="s">
        <v>9</v>
      </c>
      <c r="D90" s="17">
        <v>420934</v>
      </c>
    </row>
    <row r="91" spans="1:4" s="18" customFormat="1" ht="12.75">
      <c r="A91" s="4">
        <v>59</v>
      </c>
      <c r="B91" s="16" t="s">
        <v>45</v>
      </c>
      <c r="C91" s="16" t="s">
        <v>9</v>
      </c>
      <c r="D91" s="17">
        <f>D90-D89</f>
        <v>11044.179999999993</v>
      </c>
    </row>
    <row r="92" spans="1:4" s="18" customFormat="1" ht="25.5">
      <c r="A92" s="4">
        <v>60</v>
      </c>
      <c r="B92" s="16" t="s">
        <v>46</v>
      </c>
      <c r="C92" s="16" t="s">
        <v>9</v>
      </c>
      <c r="D92" s="19">
        <v>0</v>
      </c>
    </row>
    <row r="93" spans="1:4" s="7" customFormat="1" ht="25.5">
      <c r="A93" s="4">
        <v>61</v>
      </c>
      <c r="B93" s="5" t="s">
        <v>36</v>
      </c>
      <c r="C93" s="5"/>
      <c r="D93" s="20" t="s">
        <v>55</v>
      </c>
    </row>
    <row r="94" spans="1:4" s="7" customFormat="1" ht="12.75">
      <c r="A94" s="4">
        <v>62</v>
      </c>
      <c r="B94" s="5" t="s">
        <v>37</v>
      </c>
      <c r="C94" s="5"/>
      <c r="D94" s="4" t="s">
        <v>61</v>
      </c>
    </row>
    <row r="95" spans="1:4" s="7" customFormat="1" ht="12.75">
      <c r="A95" s="4">
        <v>63</v>
      </c>
      <c r="B95" s="5" t="s">
        <v>38</v>
      </c>
      <c r="C95" s="5" t="s">
        <v>39</v>
      </c>
      <c r="D95" s="4">
        <v>616</v>
      </c>
    </row>
    <row r="96" spans="1:4" s="7" customFormat="1" ht="12.75">
      <c r="A96" s="4">
        <v>64</v>
      </c>
      <c r="B96" s="5" t="s">
        <v>40</v>
      </c>
      <c r="C96" s="5" t="s">
        <v>9</v>
      </c>
      <c r="D96" s="8">
        <v>221593.12</v>
      </c>
    </row>
    <row r="97" spans="1:4" s="7" customFormat="1" ht="12.75">
      <c r="A97" s="4">
        <v>65</v>
      </c>
      <c r="B97" s="5" t="s">
        <v>41</v>
      </c>
      <c r="C97" s="5" t="s">
        <v>9</v>
      </c>
      <c r="D97" s="8">
        <v>210042.39</v>
      </c>
    </row>
    <row r="98" spans="1:4" s="7" customFormat="1" ht="12.75">
      <c r="A98" s="4">
        <v>66</v>
      </c>
      <c r="B98" s="5" t="s">
        <v>42</v>
      </c>
      <c r="C98" s="5" t="s">
        <v>9</v>
      </c>
      <c r="D98" s="8">
        <f>D96-D97</f>
        <v>11550.729999999981</v>
      </c>
    </row>
    <row r="99" spans="1:4" s="18" customFormat="1" ht="12.75">
      <c r="A99" s="4">
        <v>67</v>
      </c>
      <c r="B99" s="16" t="s">
        <v>43</v>
      </c>
      <c r="C99" s="16" t="s">
        <v>9</v>
      </c>
      <c r="D99" s="17">
        <v>792257.73</v>
      </c>
    </row>
    <row r="100" spans="1:4" s="18" customFormat="1" ht="12.75">
      <c r="A100" s="4">
        <v>68</v>
      </c>
      <c r="B100" s="16" t="s">
        <v>44</v>
      </c>
      <c r="C100" s="16" t="s">
        <v>9</v>
      </c>
      <c r="D100" s="17">
        <v>753550</v>
      </c>
    </row>
    <row r="101" spans="1:4" s="18" customFormat="1" ht="12.75">
      <c r="A101" s="4">
        <v>69</v>
      </c>
      <c r="B101" s="16" t="s">
        <v>45</v>
      </c>
      <c r="C101" s="16" t="s">
        <v>9</v>
      </c>
      <c r="D101" s="17">
        <f>D100-D99</f>
        <v>-38707.72999999998</v>
      </c>
    </row>
    <row r="102" spans="1:4" s="18" customFormat="1" ht="25.5">
      <c r="A102" s="4">
        <v>70</v>
      </c>
      <c r="B102" s="16" t="s">
        <v>46</v>
      </c>
      <c r="C102" s="16" t="s">
        <v>9</v>
      </c>
      <c r="D102" s="19">
        <v>0</v>
      </c>
    </row>
    <row r="103" spans="1:4" s="7" customFormat="1" ht="24">
      <c r="A103" s="4">
        <v>71</v>
      </c>
      <c r="B103" s="5" t="s">
        <v>36</v>
      </c>
      <c r="C103" s="5"/>
      <c r="D103" s="15" t="s">
        <v>58</v>
      </c>
    </row>
    <row r="104" spans="1:4" s="7" customFormat="1" ht="12.75">
      <c r="A104" s="4">
        <v>72</v>
      </c>
      <c r="B104" s="5" t="s">
        <v>37</v>
      </c>
      <c r="C104" s="5"/>
      <c r="D104" s="4" t="s">
        <v>61</v>
      </c>
    </row>
    <row r="105" spans="1:4" s="7" customFormat="1" ht="12.75">
      <c r="A105" s="4">
        <v>73</v>
      </c>
      <c r="B105" s="5" t="s">
        <v>38</v>
      </c>
      <c r="C105" s="5" t="s">
        <v>39</v>
      </c>
      <c r="D105" s="4">
        <v>1276</v>
      </c>
    </row>
    <row r="106" spans="1:4" s="7" customFormat="1" ht="12.75">
      <c r="A106" s="4">
        <v>74</v>
      </c>
      <c r="B106" s="5" t="s">
        <v>40</v>
      </c>
      <c r="C106" s="5" t="s">
        <v>9</v>
      </c>
      <c r="D106" s="8">
        <v>1821715.49</v>
      </c>
    </row>
    <row r="107" spans="1:4" s="7" customFormat="1" ht="12.75">
      <c r="A107" s="4">
        <v>75</v>
      </c>
      <c r="B107" s="5" t="s">
        <v>41</v>
      </c>
      <c r="C107" s="5" t="s">
        <v>9</v>
      </c>
      <c r="D107" s="8">
        <v>1801901.46</v>
      </c>
    </row>
    <row r="108" spans="1:4" s="7" customFormat="1" ht="12.75">
      <c r="A108" s="4">
        <v>76</v>
      </c>
      <c r="B108" s="5" t="s">
        <v>42</v>
      </c>
      <c r="C108" s="5" t="s">
        <v>9</v>
      </c>
      <c r="D108" s="8">
        <f>D106-D107</f>
        <v>19814.030000000028</v>
      </c>
    </row>
    <row r="109" spans="1:4" s="18" customFormat="1" ht="12.75">
      <c r="A109" s="4">
        <v>77</v>
      </c>
      <c r="B109" s="16" t="s">
        <v>43</v>
      </c>
      <c r="C109" s="16" t="s">
        <v>9</v>
      </c>
      <c r="D109" s="17">
        <f>1162937.47+84841.86+14037.95</f>
        <v>1261817.28</v>
      </c>
    </row>
    <row r="110" spans="1:4" s="18" customFormat="1" ht="12.75">
      <c r="A110" s="4">
        <v>78</v>
      </c>
      <c r="B110" s="16" t="s">
        <v>44</v>
      </c>
      <c r="C110" s="16" t="s">
        <v>9</v>
      </c>
      <c r="D110" s="17">
        <v>1200400</v>
      </c>
    </row>
    <row r="111" spans="1:4" s="18" customFormat="1" ht="12.75">
      <c r="A111" s="4">
        <v>79</v>
      </c>
      <c r="B111" s="16" t="s">
        <v>45</v>
      </c>
      <c r="C111" s="16" t="s">
        <v>9</v>
      </c>
      <c r="D111" s="17">
        <f>D110-D109</f>
        <v>-61417.28000000003</v>
      </c>
    </row>
    <row r="112" spans="1:4" s="18" customFormat="1" ht="25.5">
      <c r="A112" s="4">
        <v>80</v>
      </c>
      <c r="B112" s="16" t="s">
        <v>46</v>
      </c>
      <c r="C112" s="16" t="s">
        <v>9</v>
      </c>
      <c r="D112" s="19">
        <v>0</v>
      </c>
    </row>
    <row r="113" spans="1:4" s="7" customFormat="1" ht="12.75">
      <c r="A113" s="4">
        <v>81</v>
      </c>
      <c r="B113" s="5" t="s">
        <v>36</v>
      </c>
      <c r="C113" s="5"/>
      <c r="D113" s="20" t="s">
        <v>56</v>
      </c>
    </row>
    <row r="114" spans="1:4" s="7" customFormat="1" ht="12.75">
      <c r="A114" s="4">
        <v>82</v>
      </c>
      <c r="B114" s="5" t="s">
        <v>37</v>
      </c>
      <c r="C114" s="5"/>
      <c r="D114" s="4" t="s">
        <v>60</v>
      </c>
    </row>
    <row r="115" spans="1:4" s="7" customFormat="1" ht="12.75">
      <c r="A115" s="4">
        <v>83</v>
      </c>
      <c r="B115" s="5" t="s">
        <v>38</v>
      </c>
      <c r="C115" s="5" t="s">
        <v>39</v>
      </c>
      <c r="D115" s="33">
        <f>162.148+923.604+39+189.354+1061.579+38+108.55+1276.369+57+180.036+860.964+51+152.757+1435.771+54+144.172+998.154+50+144.159+939.506+105+122.71+1344.361+38+127.98+1087.848+60+124.027+1108.454+45+111.32+1142.174+53</f>
        <v>14335.996999999996</v>
      </c>
    </row>
    <row r="116" spans="1:4" s="7" customFormat="1" ht="12.75">
      <c r="A116" s="4">
        <v>84</v>
      </c>
      <c r="B116" s="5" t="s">
        <v>40</v>
      </c>
      <c r="C116" s="5" t="s">
        <v>9</v>
      </c>
      <c r="D116" s="8">
        <v>191350.88</v>
      </c>
    </row>
    <row r="117" spans="1:4" s="7" customFormat="1" ht="12.75">
      <c r="A117" s="4">
        <v>85</v>
      </c>
      <c r="B117" s="5" t="s">
        <v>41</v>
      </c>
      <c r="C117" s="5" t="s">
        <v>9</v>
      </c>
      <c r="D117" s="8">
        <v>181787.34</v>
      </c>
    </row>
    <row r="118" spans="1:4" s="7" customFormat="1" ht="12.75">
      <c r="A118" s="4">
        <v>86</v>
      </c>
      <c r="B118" s="5" t="s">
        <v>42</v>
      </c>
      <c r="C118" s="5" t="s">
        <v>9</v>
      </c>
      <c r="D118" s="8">
        <f>D116-D117</f>
        <v>9563.540000000008</v>
      </c>
    </row>
    <row r="119" spans="1:4" s="18" customFormat="1" ht="12.75">
      <c r="A119" s="4">
        <v>87</v>
      </c>
      <c r="B119" s="16" t="s">
        <v>43</v>
      </c>
      <c r="C119" s="16" t="s">
        <v>9</v>
      </c>
      <c r="D119" s="17">
        <f>217586.36+1093.82</f>
        <v>218680.18</v>
      </c>
    </row>
    <row r="120" spans="1:4" s="18" customFormat="1" ht="12.75">
      <c r="A120" s="4">
        <v>88</v>
      </c>
      <c r="B120" s="16" t="s">
        <v>44</v>
      </c>
      <c r="C120" s="16" t="s">
        <v>9</v>
      </c>
      <c r="D120" s="17">
        <v>223165</v>
      </c>
    </row>
    <row r="121" spans="1:4" s="18" customFormat="1" ht="12.75">
      <c r="A121" s="4">
        <v>89</v>
      </c>
      <c r="B121" s="16" t="s">
        <v>45</v>
      </c>
      <c r="C121" s="16" t="s">
        <v>9</v>
      </c>
      <c r="D121" s="17">
        <f>D120-D119</f>
        <v>4484.820000000007</v>
      </c>
    </row>
    <row r="122" spans="1:4" s="18" customFormat="1" ht="25.5">
      <c r="A122" s="4">
        <v>90</v>
      </c>
      <c r="B122" s="16" t="s">
        <v>46</v>
      </c>
      <c r="C122" s="16" t="s">
        <v>9</v>
      </c>
      <c r="D122" s="19">
        <v>0</v>
      </c>
    </row>
    <row r="123" spans="1:4" s="18" customFormat="1" ht="16.5" customHeight="1">
      <c r="A123" s="36" t="s">
        <v>47</v>
      </c>
      <c r="B123" s="37"/>
      <c r="C123" s="37"/>
      <c r="D123" s="38"/>
    </row>
    <row r="124" spans="1:4" s="18" customFormat="1" ht="12.75">
      <c r="A124" s="4">
        <v>91</v>
      </c>
      <c r="B124" s="16" t="s">
        <v>27</v>
      </c>
      <c r="C124" s="16" t="s">
        <v>28</v>
      </c>
      <c r="D124" s="19">
        <v>0</v>
      </c>
    </row>
    <row r="125" spans="1:4" s="18" customFormat="1" ht="12.75">
      <c r="A125" s="4">
        <v>92</v>
      </c>
      <c r="B125" s="16" t="s">
        <v>29</v>
      </c>
      <c r="C125" s="16" t="s">
        <v>28</v>
      </c>
      <c r="D125" s="19">
        <v>0</v>
      </c>
    </row>
    <row r="126" spans="1:4" s="18" customFormat="1" ht="12.75">
      <c r="A126" s="4">
        <v>93</v>
      </c>
      <c r="B126" s="16" t="s">
        <v>31</v>
      </c>
      <c r="C126" s="16"/>
      <c r="D126" s="19">
        <v>0</v>
      </c>
    </row>
    <row r="127" spans="1:4" s="18" customFormat="1" ht="12.75">
      <c r="A127" s="4">
        <v>94</v>
      </c>
      <c r="B127" s="16" t="s">
        <v>32</v>
      </c>
      <c r="C127" s="16" t="s">
        <v>9</v>
      </c>
      <c r="D127" s="19">
        <v>0</v>
      </c>
    </row>
    <row r="128" spans="1:4" s="18" customFormat="1" ht="21" customHeight="1">
      <c r="A128" s="36" t="s">
        <v>48</v>
      </c>
      <c r="B128" s="37"/>
      <c r="C128" s="37"/>
      <c r="D128" s="38"/>
    </row>
    <row r="129" spans="1:4" s="18" customFormat="1" ht="12.75">
      <c r="A129" s="4">
        <v>95</v>
      </c>
      <c r="B129" s="16" t="s">
        <v>49</v>
      </c>
      <c r="C129" s="16" t="s">
        <v>28</v>
      </c>
      <c r="D129" s="19">
        <v>0</v>
      </c>
    </row>
    <row r="130" spans="1:4" s="18" customFormat="1" ht="12.75">
      <c r="A130" s="4">
        <v>96</v>
      </c>
      <c r="B130" s="16" t="s">
        <v>50</v>
      </c>
      <c r="C130" s="16" t="s">
        <v>28</v>
      </c>
      <c r="D130" s="19">
        <v>0</v>
      </c>
    </row>
    <row r="131" spans="1:4" s="18" customFormat="1" ht="25.5">
      <c r="A131" s="4">
        <v>97</v>
      </c>
      <c r="B131" s="16" t="s">
        <v>51</v>
      </c>
      <c r="C131" s="16" t="s">
        <v>9</v>
      </c>
      <c r="D131" s="19">
        <v>0</v>
      </c>
    </row>
    <row r="132" spans="1:4" s="18" customFormat="1" ht="12.75">
      <c r="A132" s="21"/>
      <c r="B132" s="22"/>
      <c r="C132" s="22"/>
      <c r="D132" s="22"/>
    </row>
    <row r="133" spans="1:4" ht="15">
      <c r="A133" s="23"/>
      <c r="B133" s="24"/>
      <c r="C133" s="24"/>
      <c r="D133" s="24"/>
    </row>
    <row r="134" spans="1:4" ht="15">
      <c r="A134" s="23"/>
      <c r="B134" s="24"/>
      <c r="C134" s="24"/>
      <c r="D134" s="24"/>
    </row>
    <row r="135" spans="1:4" ht="15">
      <c r="A135" s="23"/>
      <c r="B135" s="24"/>
      <c r="C135" s="24"/>
      <c r="D135" s="24"/>
    </row>
    <row r="136" spans="1:4" ht="15">
      <c r="A136" s="23"/>
      <c r="B136" s="24"/>
      <c r="C136" s="24"/>
      <c r="D136" s="24"/>
    </row>
    <row r="137" spans="1:4" ht="15">
      <c r="A137" s="23"/>
      <c r="B137" s="24"/>
      <c r="C137" s="24"/>
      <c r="D137" s="24"/>
    </row>
    <row r="138" spans="1:4" ht="15">
      <c r="A138" s="23"/>
      <c r="B138" s="24"/>
      <c r="C138" s="24"/>
      <c r="D138" s="24"/>
    </row>
    <row r="139" spans="1:4" ht="15">
      <c r="A139" s="23"/>
      <c r="B139" s="24"/>
      <c r="C139" s="24"/>
      <c r="D139" s="24"/>
    </row>
    <row r="140" spans="1:4" ht="15">
      <c r="A140" s="23"/>
      <c r="B140" s="24"/>
      <c r="C140" s="24"/>
      <c r="D140" s="24"/>
    </row>
    <row r="141" spans="1:4" ht="15">
      <c r="A141" s="23"/>
      <c r="B141" s="24"/>
      <c r="C141" s="24"/>
      <c r="D141" s="24"/>
    </row>
    <row r="142" spans="1:4" ht="15">
      <c r="A142" s="23"/>
      <c r="B142" s="24"/>
      <c r="C142" s="24"/>
      <c r="D142" s="24"/>
    </row>
    <row r="143" spans="1:4" ht="15">
      <c r="A143" s="23"/>
      <c r="B143" s="24"/>
      <c r="C143" s="24"/>
      <c r="D143" s="24"/>
    </row>
    <row r="144" spans="1:4" ht="15">
      <c r="A144" s="23"/>
      <c r="B144" s="24"/>
      <c r="C144" s="24"/>
      <c r="D144" s="24"/>
    </row>
    <row r="145" spans="1:4" ht="15">
      <c r="A145" s="23"/>
      <c r="B145" s="24"/>
      <c r="C145" s="24"/>
      <c r="D145" s="24"/>
    </row>
    <row r="146" spans="1:4" ht="15">
      <c r="A146" s="23"/>
      <c r="B146" s="24"/>
      <c r="C146" s="24"/>
      <c r="D146" s="24"/>
    </row>
    <row r="147" spans="1:4" ht="15">
      <c r="A147" s="23"/>
      <c r="B147" s="24"/>
      <c r="C147" s="24"/>
      <c r="D147" s="24"/>
    </row>
    <row r="148" spans="1:4" ht="15">
      <c r="A148" s="23"/>
      <c r="B148" s="24"/>
      <c r="C148" s="24"/>
      <c r="D148" s="24"/>
    </row>
    <row r="149" spans="1:4" ht="15">
      <c r="A149" s="23"/>
      <c r="B149" s="24"/>
      <c r="C149" s="24"/>
      <c r="D149" s="24"/>
    </row>
    <row r="150" spans="1:4" ht="15">
      <c r="A150" s="23"/>
      <c r="B150" s="24"/>
      <c r="C150" s="24"/>
      <c r="D150" s="24"/>
    </row>
    <row r="151" spans="1:4" ht="15">
      <c r="A151" s="23"/>
      <c r="B151" s="24"/>
      <c r="C151" s="24"/>
      <c r="D151" s="24"/>
    </row>
    <row r="152" spans="1:4" ht="15">
      <c r="A152" s="23"/>
      <c r="B152" s="24"/>
      <c r="C152" s="24"/>
      <c r="D152" s="24"/>
    </row>
    <row r="153" spans="1:4" ht="15">
      <c r="A153" s="23"/>
      <c r="B153" s="24"/>
      <c r="C153" s="24"/>
      <c r="D153" s="24"/>
    </row>
    <row r="154" spans="1:4" ht="15">
      <c r="A154" s="23"/>
      <c r="B154" s="24"/>
      <c r="C154" s="24"/>
      <c r="D154" s="24"/>
    </row>
    <row r="155" spans="1:4" ht="15">
      <c r="A155" s="23"/>
      <c r="B155" s="24"/>
      <c r="C155" s="24"/>
      <c r="D155" s="24"/>
    </row>
    <row r="156" spans="1:4" ht="15">
      <c r="A156" s="23"/>
      <c r="B156" s="24"/>
      <c r="C156" s="24"/>
      <c r="D156" s="24"/>
    </row>
    <row r="157" spans="1:4" ht="15">
      <c r="A157" s="23"/>
      <c r="B157" s="24"/>
      <c r="C157" s="24"/>
      <c r="D157" s="24"/>
    </row>
    <row r="158" spans="1:4" ht="15">
      <c r="A158" s="23"/>
      <c r="B158" s="24"/>
      <c r="C158" s="24"/>
      <c r="D158" s="24"/>
    </row>
    <row r="159" spans="1:4" ht="15">
      <c r="A159" s="23"/>
      <c r="B159" s="24"/>
      <c r="C159" s="24"/>
      <c r="D159" s="24"/>
    </row>
  </sheetData>
  <sheetProtection/>
  <mergeCells count="8">
    <mergeCell ref="A123:D123"/>
    <mergeCell ref="A128:D128"/>
    <mergeCell ref="A1:D1"/>
    <mergeCell ref="A7:D7"/>
    <mergeCell ref="A25:D25"/>
    <mergeCell ref="A60:D60"/>
    <mergeCell ref="A65:D65"/>
    <mergeCell ref="A72:D72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user</cp:lastModifiedBy>
  <cp:lastPrinted>2017-04-13T09:48:31Z</cp:lastPrinted>
  <dcterms:created xsi:type="dcterms:W3CDTF">2015-06-22T07:31:05Z</dcterms:created>
  <dcterms:modified xsi:type="dcterms:W3CDTF">2017-04-14T09:58:17Z</dcterms:modified>
  <cp:category/>
  <cp:version/>
  <cp:contentType/>
  <cp:contentStatus/>
</cp:coreProperties>
</file>